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C05761-A2B4-4C97-9F9F-A35D0C5D66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5" i="4" l="1"/>
  <c r="F96" i="4"/>
  <c r="E92" i="4"/>
  <c r="F97" i="4"/>
  <c r="D53" i="4"/>
  <c r="B11" i="5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<sst xmlns="http://schemas.openxmlformats.org/spreadsheetml/2006/main" count="403" uniqueCount="287">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</sst>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10572780266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0.22500000000000001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284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142573</v>
      </c>
      <c r="D25" s="80">
        <v>77824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4079</v>
      </c>
      <c r="D26" s="82">
        <v>3197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16607</v>
      </c>
      <c r="D27" s="82">
        <v>16950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77411</v>
      </c>
      <c r="D29" s="82">
        <v>25020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2134</v>
      </c>
      <c r="D30" s="82">
        <v>1290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1.145+0.57</f>
        <v>1.7149999999999999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6.8875502008032122E-2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142573</v>
      </c>
      <c r="D91" s="103"/>
      <c r="E91" s="104">
        <f>C91</f>
        <v>142573</v>
      </c>
      <c r="F91" s="104">
        <f>C91</f>
        <v>142573</v>
      </c>
    </row>
    <row r="92" spans="2:8" x14ac:dyDescent="0.35">
      <c r="B92" s="105" t="s">
        <v>98</v>
      </c>
      <c r="C92" s="102">
        <f>C26</f>
        <v>4079</v>
      </c>
      <c r="D92" s="106">
        <f>C92/C91</f>
        <v>2.8609905101246377E-2</v>
      </c>
      <c r="E92" s="107">
        <f>E91*D92</f>
        <v>4078.9999999999995</v>
      </c>
      <c r="F92" s="107">
        <f>F91*D92</f>
        <v>4078.9999999999995</v>
      </c>
    </row>
    <row r="93" spans="2:8" x14ac:dyDescent="0.35">
      <c r="B93" s="105" t="s">
        <v>218</v>
      </c>
      <c r="C93" s="102">
        <f>C27+C28</f>
        <v>16607</v>
      </c>
      <c r="D93" s="106">
        <f>C93/C91</f>
        <v>0.11648068007266453</v>
      </c>
      <c r="E93" s="107">
        <f>E91*D93</f>
        <v>16607</v>
      </c>
      <c r="F93" s="107">
        <f>F91*D93</f>
        <v>16607</v>
      </c>
    </row>
    <row r="94" spans="2:8" x14ac:dyDescent="0.35">
      <c r="B94" s="105" t="s">
        <v>224</v>
      </c>
      <c r="C94" s="102">
        <f>C29</f>
        <v>77411</v>
      </c>
      <c r="D94" s="106">
        <f>C94/C91</f>
        <v>0.54295694135635775</v>
      </c>
      <c r="E94" s="108"/>
      <c r="F94" s="107">
        <f>F91*D94</f>
        <v>77411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2753.5483870967741</v>
      </c>
      <c r="D97" s="106">
        <f>C97/C91</f>
        <v>1.9313252769435827E-2</v>
      </c>
      <c r="E97" s="108"/>
      <c r="F97" s="107">
        <f>F91*D97</f>
        <v>2753.5483870967741</v>
      </c>
    </row>
    <row r="98" spans="2:6" x14ac:dyDescent="0.35">
      <c r="B98" s="8" t="s">
        <v>183</v>
      </c>
      <c r="C98" s="109">
        <f>C44</f>
        <v>1.7149999999999999</v>
      </c>
      <c r="D98" s="110"/>
      <c r="E98" s="111">
        <f>F98</f>
        <v>1.48</v>
      </c>
      <c r="F98" s="111">
        <f>0.91+0.57</f>
        <v>1.48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2388.HK</v>
      </c>
      <c r="D3" s="316"/>
      <c r="E3" s="3"/>
      <c r="F3" s="9" t="s">
        <v>1</v>
      </c>
      <c r="G3" s="10">
        <v>24.9</v>
      </c>
      <c r="H3" s="11" t="s">
        <v>259</v>
      </c>
    </row>
    <row r="4" spans="1:10" ht="15.75" customHeight="1" x14ac:dyDescent="0.35">
      <c r="B4" s="12" t="s">
        <v>171</v>
      </c>
      <c r="C4" s="317" t="str">
        <f>Inputs!C5</f>
        <v>中银香港</v>
      </c>
      <c r="D4" s="318"/>
      <c r="E4" s="3"/>
      <c r="F4" s="9" t="s">
        <v>3</v>
      </c>
      <c r="G4" s="321">
        <f>Inputs!C10</f>
        <v>10572780266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263262.22862339998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0.54295694135635775</v>
      </c>
      <c r="F24" s="39" t="s">
        <v>226</v>
      </c>
      <c r="G24" s="43">
        <f>G3/(Fin_Analysis!H86*G7)</f>
        <v>8.1417362856665694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0.48392649408781224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5.9437751004016069E-2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225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16.224140580336194</v>
      </c>
      <c r="D29" s="54">
        <f>G29*(1+G20)</f>
        <v>26.455081550542644</v>
      </c>
      <c r="E29" s="3"/>
      <c r="F29" s="55">
        <f>IF(Fin_Analysis!C108="Profit",Fin_Analysis!F100,IF(Fin_Analysis!C108="Dividend",Fin_Analysis!F103,Fin_Analysis!F106))</f>
        <v>19.08722421216023</v>
      </c>
      <c r="G29" s="312">
        <f>IF(Fin_Analysis!C108="Profit",Fin_Analysis!I100,IF(Fin_Analysis!C108="Dividend",Fin_Analysis!I103,Fin_Analysis!I106))</f>
        <v>23.004418739602301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119133.45161290323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142573</v>
      </c>
      <c r="D6" s="147">
        <f>IF(Inputs!D25="","",Inputs!D25)</f>
        <v>77824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0.83199270148026305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4079</v>
      </c>
      <c r="D8" s="149">
        <f>IF(Inputs!D26="","",Inputs!D26)</f>
        <v>3197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138494</v>
      </c>
      <c r="D9" s="279">
        <f t="shared" si="2"/>
        <v>74627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16607</v>
      </c>
      <c r="D10" s="149">
        <f>IF(Inputs!D27="","",Inputs!D27)</f>
        <v>16950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2753.5483870967741</v>
      </c>
      <c r="D12" s="149">
        <f>IF(Inputs!D30="","",MAX(Inputs!D30,0)/(1-Fin_Analysis!$I$84))</f>
        <v>1664.516129032258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0.83559616205665332</v>
      </c>
      <c r="D13" s="300">
        <f t="shared" si="3"/>
        <v>0.71973278000318341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119133.45161290323</v>
      </c>
      <c r="D14" s="302">
        <f t="shared" ref="D14:M14" si="4">IF(D6="","",D9-D10-MAX(D11,0)-MAX(D12,0))</f>
        <v>56012.483870967742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1.1269089206496017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77411</v>
      </c>
      <c r="D17" s="149">
        <f>IF(Inputs!D29="","",Inputs!D29)</f>
        <v>25020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41722.451612903227</v>
      </c>
      <c r="D22" s="283">
        <f t="shared" ref="D22:M22" si="8">IF(D6="","",D14-MAX(D16,0)-MAX(D17,0)-ABS(MAX(D21,0)-MAX(D19,0)))</f>
        <v>30992.483870967742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0.226795396042729</v>
      </c>
      <c r="D23" s="148">
        <f t="shared" si="9"/>
        <v>0.30863454718338817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32334.9</v>
      </c>
      <c r="D24" s="282">
        <f>IF(D6="","",D22*(1-Fin_Analysis!$I$84))</f>
        <v>24019.174999999999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0.34621193275789042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2.8609905101246377E-2</v>
      </c>
      <c r="D40" s="156">
        <f t="shared" si="34"/>
        <v>4.1079872532894739E-2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0.29263922070029547</v>
      </c>
      <c r="D46" s="289">
        <f t="shared" si="40"/>
        <v>0.3982381253979202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142573</v>
      </c>
      <c r="D74" s="103"/>
      <c r="E74" s="262">
        <f>Inputs!E91</f>
        <v>142573</v>
      </c>
      <c r="F74" s="103"/>
      <c r="H74" s="262">
        <f>Inputs!F91</f>
        <v>142573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4079</v>
      </c>
      <c r="D75" s="106">
        <f>C75/$C$74</f>
        <v>2.8609905101246377E-2</v>
      </c>
      <c r="E75" s="262">
        <f>Inputs!E92</f>
        <v>4078.9999999999995</v>
      </c>
      <c r="F75" s="217">
        <f>E75/E74</f>
        <v>2.8609905101246377E-2</v>
      </c>
      <c r="H75" s="262">
        <f>Inputs!F92</f>
        <v>4078.9999999999995</v>
      </c>
      <c r="I75" s="217">
        <f>H75/$H$74</f>
        <v>2.8609905101246377E-2</v>
      </c>
      <c r="K75" s="75"/>
    </row>
    <row r="76" spans="1:11" ht="15" customHeight="1" x14ac:dyDescent="0.35">
      <c r="B76" s="12" t="s">
        <v>88</v>
      </c>
      <c r="C76" s="150">
        <f>C74-C75</f>
        <v>138494</v>
      </c>
      <c r="D76" s="218"/>
      <c r="E76" s="219">
        <f>E74-E75</f>
        <v>138494</v>
      </c>
      <c r="F76" s="218"/>
      <c r="H76" s="219">
        <f>H74-H75</f>
        <v>138494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16607</v>
      </c>
      <c r="D77" s="106">
        <f>C77/$C$74</f>
        <v>0.11648068007266453</v>
      </c>
      <c r="E77" s="262">
        <f>Inputs!E93</f>
        <v>16607</v>
      </c>
      <c r="F77" s="217">
        <f>E77/E74</f>
        <v>0.11648068007266453</v>
      </c>
      <c r="H77" s="262">
        <f>Inputs!F93</f>
        <v>16607</v>
      </c>
      <c r="I77" s="217">
        <f>H77/$H$74</f>
        <v>0.11648068007266453</v>
      </c>
      <c r="K77" s="75"/>
    </row>
    <row r="78" spans="1:11" ht="15" customHeight="1" x14ac:dyDescent="0.35">
      <c r="B78" s="98" t="s">
        <v>153</v>
      </c>
      <c r="C78" s="102">
        <f>MAX(Data!C12,0)</f>
        <v>2753.5483870967741</v>
      </c>
      <c r="D78" s="106">
        <f>C78/$C$74</f>
        <v>1.9313252769435827E-2</v>
      </c>
      <c r="E78" s="220">
        <f>E74*F78</f>
        <v>2753.5483870967741</v>
      </c>
      <c r="F78" s="217">
        <f>I78</f>
        <v>1.9313252769435827E-2</v>
      </c>
      <c r="H78" s="262">
        <f>Inputs!F97</f>
        <v>2753.5483870967741</v>
      </c>
      <c r="I78" s="217">
        <f>H78/$H$74</f>
        <v>1.9313252769435827E-2</v>
      </c>
      <c r="K78" s="75"/>
    </row>
    <row r="79" spans="1:11" ht="15" customHeight="1" x14ac:dyDescent="0.35">
      <c r="B79" s="221" t="s">
        <v>206</v>
      </c>
      <c r="C79" s="222">
        <f>C76-C77-C78</f>
        <v>119133.45161290323</v>
      </c>
      <c r="D79" s="223">
        <f>C79/C74</f>
        <v>0.83559616205665332</v>
      </c>
      <c r="E79" s="224">
        <f>E76-E77-E78</f>
        <v>119133.45161290323</v>
      </c>
      <c r="F79" s="223">
        <f>E79/E74</f>
        <v>0.83559616205665332</v>
      </c>
      <c r="G79" s="225"/>
      <c r="H79" s="224">
        <f>H76-H77-H78</f>
        <v>119133.45161290323</v>
      </c>
      <c r="I79" s="223">
        <f>H79/H74</f>
        <v>0.83559616205665332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77411</v>
      </c>
      <c r="D81" s="106">
        <f>C81/$C$74</f>
        <v>0.54295694135635775</v>
      </c>
      <c r="E81" s="220">
        <f>E74*F81</f>
        <v>77411</v>
      </c>
      <c r="F81" s="217">
        <f>I81</f>
        <v>0.54295694135635775</v>
      </c>
      <c r="H81" s="262">
        <f>Inputs!F94</f>
        <v>77411</v>
      </c>
      <c r="I81" s="217">
        <f>H81/$H$74</f>
        <v>0.54295694135635775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41722.451612903227</v>
      </c>
      <c r="D83" s="229">
        <f>C83/$C$74</f>
        <v>0.29263922070029547</v>
      </c>
      <c r="E83" s="230">
        <f>E79-E81-E82-E80</f>
        <v>41722.451612903227</v>
      </c>
      <c r="F83" s="229">
        <f>E83/E74</f>
        <v>0.29263922070029547</v>
      </c>
      <c r="H83" s="230">
        <f>H79-H81-H82-H80</f>
        <v>41722.451612903227</v>
      </c>
      <c r="I83" s="229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0.22500000000000001</v>
      </c>
      <c r="E84" s="232"/>
      <c r="F84" s="233">
        <f t="shared" ref="F84" si="3">I84</f>
        <v>0.22500000000000001</v>
      </c>
      <c r="H84" s="232"/>
      <c r="I84" s="263">
        <f>Inputs!C16</f>
        <v>0.22500000000000001</v>
      </c>
      <c r="K84" s="75"/>
    </row>
    <row r="85" spans="1:11" ht="15" customHeight="1" x14ac:dyDescent="0.35">
      <c r="B85" s="234" t="s">
        <v>149</v>
      </c>
      <c r="C85" s="222">
        <f>C83*(1-I84)</f>
        <v>32334.9</v>
      </c>
      <c r="D85" s="223">
        <f>C85/$C$74</f>
        <v>0.226795396042729</v>
      </c>
      <c r="E85" s="235">
        <f>E83*(1-F84)</f>
        <v>32334.9</v>
      </c>
      <c r="F85" s="223">
        <f>E85/E74</f>
        <v>0.226795396042729</v>
      </c>
      <c r="G85" s="225"/>
      <c r="H85" s="235">
        <f>H83*(1-I84)</f>
        <v>32334.9</v>
      </c>
      <c r="I85" s="223">
        <f>H85/$H$74</f>
        <v>0.226795396042729</v>
      </c>
      <c r="K85" s="75"/>
    </row>
    <row r="86" spans="1:11" ht="15" customHeight="1" x14ac:dyDescent="0.35">
      <c r="B86" s="3" t="s">
        <v>146</v>
      </c>
      <c r="C86" s="236">
        <f>C85*Data!C4/Common_Shares</f>
        <v>3.0583157113349584</v>
      </c>
      <c r="D86" s="103"/>
      <c r="E86" s="237">
        <f>E85*Data!C4/Common_Shares</f>
        <v>3.0583157113349584</v>
      </c>
      <c r="F86" s="103"/>
      <c r="H86" s="237">
        <f>H85*Data!C4/Common_Shares</f>
        <v>3.0583157113349584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0.12282392414999833</v>
      </c>
      <c r="D87" s="103"/>
      <c r="E87" s="239">
        <f>E86*Exchange_Rate/Dashboard!G3</f>
        <v>0.12282392414999833</v>
      </c>
      <c r="F87" s="103"/>
      <c r="H87" s="239">
        <f>H86*Exchange_Rate/Dashboard!G3</f>
        <v>0.12282392414999833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1.7149999999999999</v>
      </c>
      <c r="D88" s="241">
        <f>C88/C86</f>
        <v>0.56076617389229588</v>
      </c>
      <c r="E88" s="261">
        <f>Inputs!E98</f>
        <v>1.48</v>
      </c>
      <c r="F88" s="241">
        <f>E88/E86</f>
        <v>0.48392649408781224</v>
      </c>
      <c r="H88" s="261">
        <f>Inputs!F98</f>
        <v>1.48</v>
      </c>
      <c r="I88" s="241">
        <f>H88/H86</f>
        <v>0.48392649408781224</v>
      </c>
      <c r="K88" s="75"/>
    </row>
    <row r="89" spans="1:11" ht="15" customHeight="1" x14ac:dyDescent="0.35">
      <c r="B89" s="3" t="s">
        <v>196</v>
      </c>
      <c r="C89" s="238">
        <f>C88*Exchange_Rate/Dashboard!G3</f>
        <v>6.8875502008032122E-2</v>
      </c>
      <c r="D89" s="103"/>
      <c r="E89" s="238">
        <f>E88*Exchange_Rate/Dashboard!G3</f>
        <v>5.9437751004016069E-2</v>
      </c>
      <c r="F89" s="103"/>
      <c r="H89" s="238">
        <f>H88*Exchange_Rate/Dashboard!G3</f>
        <v>5.9437751004016069E-2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71.411069446426666</v>
      </c>
      <c r="H93" s="3" t="s">
        <v>185</v>
      </c>
      <c r="I93" s="243">
        <f>FV(H87,D93,0,-(H86/(C93-D94)))*Exchange_Rate</f>
        <v>71.411069446426666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29.02928212366918</v>
      </c>
      <c r="H94" s="3" t="s">
        <v>186</v>
      </c>
      <c r="I94" s="243">
        <f>FV(H89,D93,0,-(H88/(C93-D94)))*Exchange_Rate</f>
        <v>29.02928212366918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496433.66208079929</v>
      </c>
      <c r="D97" s="250"/>
      <c r="E97" s="251">
        <f>PV(C94,D93,0,-F93)</f>
        <v>46.95393733635354</v>
      </c>
      <c r="F97" s="250"/>
      <c r="H97" s="251">
        <f>PV(C94,D93,0,-I93)</f>
        <v>46.95393733635354</v>
      </c>
      <c r="I97" s="251">
        <f>PV(C93,D93,0,-I93)</f>
        <v>56.59010571429107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39.910846735900506</v>
      </c>
      <c r="E100" s="257">
        <f>MAX(E97+H98+E99,0)</f>
        <v>46.95393733635354</v>
      </c>
      <c r="F100" s="257">
        <f>(E100+H100)/2</f>
        <v>46.95393733635354</v>
      </c>
      <c r="H100" s="257">
        <f>MAX(H97+H98+H99,0)</f>
        <v>46.95393733635354</v>
      </c>
      <c r="I100" s="257">
        <f>MAX(I97+H98+H99,0)</f>
        <v>56.59010571429107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16.224140580336194</v>
      </c>
      <c r="E103" s="251">
        <f>PV(C94,D93,0,-F94)</f>
        <v>19.08722421216023</v>
      </c>
      <c r="F103" s="257">
        <f>(E103+H103)/2</f>
        <v>19.08722421216023</v>
      </c>
      <c r="H103" s="251">
        <f>PV(C94,D93,0,-I94)</f>
        <v>19.08722421216023</v>
      </c>
      <c r="I103" s="257">
        <f>PV(C93,D93,0,-I94)</f>
        <v>23.004418739602301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28.067493658118352</v>
      </c>
      <c r="E106" s="251">
        <f>(E100+E103)/2</f>
        <v>33.020580774256885</v>
      </c>
      <c r="F106" s="257">
        <f>(F100+F103)/2</f>
        <v>33.020580774256885</v>
      </c>
      <c r="H106" s="251">
        <f>(H100+H103)/2</f>
        <v>33.020580774256885</v>
      </c>
      <c r="I106" s="251">
        <f>(I100+I103)/2</f>
        <v>39.797262226946685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