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D70A48D6-7E00-46A5-9C9C-4C049C1D06D2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  <sheet name="Note" sheetId="5" r:id="rId5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E98" i="4" l="1"/>
  <c r="E93" i="4"/>
  <c r="F92" i="4"/>
  <c r="F91" i="4"/>
  <c r="F97" i="4" s="1"/>
  <c r="E91" i="4"/>
  <c r="E92" i="4" s="1"/>
  <c r="D69" i="4"/>
  <c r="D68" i="4"/>
  <c r="D67" i="4"/>
  <c r="D63" i="4"/>
  <c r="D62" i="4"/>
  <c r="D61" i="4"/>
  <c r="D60" i="4"/>
  <c r="D59" i="4"/>
  <c r="D58" i="4"/>
  <c r="D71" i="4" s="1"/>
  <c r="D55" i="4"/>
  <c r="D50" i="4"/>
  <c r="D53" i="4" s="1"/>
  <c r="C44" i="4"/>
  <c r="D93" i="3"/>
  <c r="F94" i="4" l="1"/>
  <c r="E95" i="4"/>
  <c r="F93" i="4"/>
  <c r="F95" i="4"/>
  <c r="F96" i="4"/>
  <c r="D56" i="4"/>
  <c r="B11" i="5"/>
  <c r="B47" i="4" l="1"/>
  <c r="C49" i="3"/>
  <c r="D4" i="3"/>
  <c r="D3" i="3"/>
  <c r="I3" i="3" s="1"/>
  <c r="I49" i="3"/>
  <c r="C34" i="2"/>
  <c r="C56" i="2" s="1"/>
  <c r="C30" i="2"/>
  <c r="E34" i="2"/>
  <c r="F34" i="2"/>
  <c r="G34" i="2"/>
  <c r="G27" i="2" s="1"/>
  <c r="H34" i="2"/>
  <c r="H27" i="2" s="1"/>
  <c r="I34" i="2"/>
  <c r="I27" i="2" s="1"/>
  <c r="J34" i="2"/>
  <c r="J56" i="2" s="1"/>
  <c r="K34" i="2"/>
  <c r="K27" i="2" s="1"/>
  <c r="L34" i="2"/>
  <c r="L27" i="2" s="1"/>
  <c r="M34" i="2"/>
  <c r="M27" i="2" s="1"/>
  <c r="D34" i="2"/>
  <c r="D27" i="2" s="1"/>
  <c r="D30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K37" i="2" s="1"/>
  <c r="K38" i="2" s="1"/>
  <c r="L36" i="2"/>
  <c r="L37" i="2" s="1"/>
  <c r="L38" i="2" s="1"/>
  <c r="M36" i="2"/>
  <c r="M37" i="2" s="1"/>
  <c r="M38" i="2" s="1"/>
  <c r="B7" i="3"/>
  <c r="M51" i="2"/>
  <c r="J27" i="2" l="1"/>
  <c r="F27" i="2"/>
  <c r="E27" i="2"/>
  <c r="E56" i="2" s="1"/>
  <c r="G56" i="2"/>
  <c r="F56" i="2"/>
  <c r="M56" i="2"/>
  <c r="L56" i="2"/>
  <c r="D56" i="2"/>
  <c r="K56" i="2"/>
  <c r="I56" i="2"/>
  <c r="H56" i="2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E38" i="2" s="1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B93" i="3" l="1"/>
  <c r="I62" i="3"/>
  <c r="K51" i="2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15" i="2"/>
  <c r="E15" i="2"/>
  <c r="K13" i="2"/>
  <c r="E13" i="2"/>
  <c r="L13" i="2"/>
  <c r="G13" i="2"/>
  <c r="D13" i="2"/>
  <c r="K54" i="2"/>
  <c r="L24" i="2"/>
  <c r="L23" i="2" s="1"/>
  <c r="M55" i="2"/>
  <c r="M54" i="2"/>
  <c r="E55" i="2" l="1"/>
  <c r="D54" i="2"/>
  <c r="G55" i="2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1" i="1" l="1"/>
  <c r="F94" i="3"/>
  <c r="E103" i="3" s="1"/>
  <c r="E77" i="3"/>
  <c r="E75" i="3"/>
  <c r="J54" i="2"/>
  <c r="H54" i="2"/>
  <c r="I54" i="2"/>
  <c r="F54" i="2"/>
  <c r="G26" i="1"/>
  <c r="C78" i="3"/>
  <c r="C96" i="3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49" i="2" l="1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E46" i="2"/>
  <c r="C47" i="3"/>
  <c r="C45" i="3"/>
  <c r="C27" i="3"/>
  <c r="C26" i="3"/>
  <c r="C44" i="3"/>
  <c r="C46" i="3"/>
  <c r="H80" i="3" l="1"/>
  <c r="I80" i="3" s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E76" i="3"/>
  <c r="E79" i="3" s="1"/>
  <c r="H76" i="3"/>
  <c r="H79" i="3" s="1"/>
  <c r="D83" i="3"/>
  <c r="D85" i="3"/>
  <c r="C86" i="3"/>
  <c r="C87" i="3" s="1"/>
  <c r="C46" i="2"/>
  <c r="F80" i="3" l="1"/>
  <c r="E80" i="3" s="1"/>
  <c r="C25" i="1"/>
  <c r="C54" i="2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H81" i="3" l="1"/>
  <c r="I81" i="3" s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I61" i="3" s="1"/>
  <c r="D44" i="3"/>
  <c r="D45" i="3"/>
  <c r="D25" i="3"/>
  <c r="I63" i="3" l="1"/>
  <c r="I64" i="3" s="1"/>
  <c r="H99" i="3" s="1"/>
  <c r="E99" i="3" s="1"/>
  <c r="F81" i="3"/>
  <c r="E81" i="3" s="1"/>
  <c r="C70" i="3"/>
  <c r="D70" i="3" s="1"/>
  <c r="D49" i="3"/>
  <c r="D68" i="3"/>
  <c r="J28" i="3"/>
  <c r="G23" i="1" l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I97" i="3"/>
  <c r="C97" i="3" l="1"/>
  <c r="C53" i="3"/>
  <c r="E53" i="3" s="1"/>
  <c r="C35" i="2"/>
  <c r="C53" i="2" l="1"/>
  <c r="C23" i="1" s="1"/>
  <c r="C20" i="1" s="1"/>
  <c r="C58" i="2"/>
  <c r="C57" i="2" s="1"/>
  <c r="C59" i="2"/>
  <c r="D52" i="3"/>
  <c r="C98" i="3"/>
  <c r="D6" i="3"/>
  <c r="D53" i="3"/>
  <c r="D7" i="3" l="1"/>
  <c r="E6" i="3"/>
  <c r="H98" i="3"/>
  <c r="H100" i="3" s="1"/>
  <c r="H106" i="3" s="1"/>
  <c r="I100" i="3" l="1"/>
  <c r="E100" i="3"/>
  <c r="F100" i="3" l="1"/>
  <c r="E106" i="3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<sst xmlns="http://schemas.openxmlformats.org/spreadsheetml/2006/main" count="404" uniqueCount="289">
  <si>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</si>
  <si>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</si>
  <si>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</si>
  <si>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</si>
  <si>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</si>
  <si>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</si>
  <si>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</si>
  <si>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</si>
  <si>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</si>
  <si>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</si>
  <si>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</si>
  <si>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</si>
  <si>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</si>
  <si>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</si>
  <si>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</si>
  <si>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</si>
  <si>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</si>
  <si>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</si>
  <si>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</si>
  <si>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</si>
  <si>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</si>
  <si>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</si>
  <si>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</si>
  <si>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</si>
  <si>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</si>
  <si>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</si>
  <si>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</si>
  <si>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Book Figure</t>
  </si>
  <si>
    <t>Ajusted Valuation</t>
  </si>
  <si>
    <t>is_OP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</si>
  <si>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</si>
  <si>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</si>
  <si>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</si>
  <si>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</si>
  <si>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</si>
  <si>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</si>
  <si>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</si>
  <si>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</si>
  <si>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</si>
  <si>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</si>
  <si>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</si>
  <si>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</si>
  <si>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</si>
  <si>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</si>
  <si>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</si>
  <si>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</si>
  <si>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</si>
  <si>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</si>
  <si>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</si>
  <si>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</si>
  <si>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</si>
  <si>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</si>
  <si>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</si>
  <si>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</si>
  <si>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</si>
  <si>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</si>
  <si>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</si>
  <si>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</si>
  <si>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</si>
  <si>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</si>
  <si>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</si>
  <si>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</si>
  <si>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</si>
  <si>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</si>
  <si>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</si>
  <si>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</si>
  <si>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</si>
  <si>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</si>
  <si>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</si>
  <si>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</si>
  <si>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</si>
  <si>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</si>
  <si>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</si>
  <si>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</si>
  <si>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</si>
  <si>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</si>
  <si>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</si>
  <si>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</si>
  <si>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</si>
  <si>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</si>
  <si>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</si>
  <si>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</si>
  <si>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</si>
  <si>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</si>
  <si>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</si>
  <si>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</si>
  <si>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</si>
  <si>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3" type="noConversion"/>
  </si>
  <si>
    <t>Tax Rate</t>
    <phoneticPr fontId="3" type="noConversion"/>
  </si>
  <si>
    <t>COGS/Sales</t>
    <phoneticPr fontId="3" type="noConversion"/>
  </si>
  <si>
    <t>D&amp;A/Sales</t>
    <phoneticPr fontId="3" type="noConversion"/>
  </si>
  <si>
    <t>Capitalization:</t>
    <phoneticPr fontId="3" type="noConversion"/>
  </si>
  <si>
    <t>Base Year</t>
    <phoneticPr fontId="3" type="noConversion"/>
  </si>
  <si>
    <t>Normalized Year</t>
    <phoneticPr fontId="3" type="noConversion"/>
  </si>
  <si>
    <t>Gross Profit</t>
    <phoneticPr fontId="3" type="noConversion"/>
  </si>
  <si>
    <t>- Operating Expenses</t>
    <phoneticPr fontId="3" type="noConversion"/>
  </si>
  <si>
    <t>+ D&amp;A</t>
    <phoneticPr fontId="3" type="noConversion"/>
  </si>
  <si>
    <t>- COGS</t>
    <phoneticPr fontId="3" type="noConversion"/>
  </si>
  <si>
    <t>- R&amp;D</t>
    <phoneticPr fontId="3" type="noConversion"/>
  </si>
  <si>
    <t>- CAPX</t>
    <phoneticPr fontId="3" type="noConversion"/>
  </si>
  <si>
    <t>ΔWC</t>
    <phoneticPr fontId="3" type="noConversion"/>
  </si>
  <si>
    <t>- ΔWC</t>
    <phoneticPr fontId="3" type="noConversion"/>
  </si>
  <si>
    <t>- Non-controling Interests</t>
    <phoneticPr fontId="3" type="noConversion"/>
  </si>
  <si>
    <t>Pre-tax Profit</t>
    <phoneticPr fontId="3" type="noConversion"/>
  </si>
  <si>
    <t>After-tax Profit Margin</t>
    <phoneticPr fontId="3" type="noConversion"/>
  </si>
  <si>
    <t>After-tax Profit</t>
    <phoneticPr fontId="3" type="noConversion"/>
  </si>
  <si>
    <t>Valuation</t>
    <phoneticPr fontId="3" type="noConversion"/>
  </si>
  <si>
    <t>ST AR</t>
    <phoneticPr fontId="3" type="noConversion"/>
  </si>
  <si>
    <t>Prepayments and Contract Assets</t>
    <phoneticPr fontId="3" type="noConversion"/>
  </si>
  <si>
    <t>PP&amp;E &amp; Right of Use Assets</t>
    <phoneticPr fontId="3" type="noConversion"/>
  </si>
  <si>
    <t>Properties under development</t>
    <phoneticPr fontId="3" type="noConversion"/>
  </si>
  <si>
    <t>Pre-tax Profit / Total Debt</t>
    <phoneticPr fontId="3" type="noConversion"/>
  </si>
  <si>
    <t>Interest/Sales</t>
    <phoneticPr fontId="3" type="noConversion"/>
  </si>
  <si>
    <t>Interest / Pre-tax Profit</t>
    <phoneticPr fontId="3" type="noConversion"/>
  </si>
  <si>
    <t>Pre-tax Profit/Sales</t>
    <phoneticPr fontId="3" type="noConversion"/>
  </si>
  <si>
    <t>Pre-tax Profit =</t>
    <phoneticPr fontId="3" type="noConversion"/>
  </si>
  <si>
    <t>Sales</t>
    <phoneticPr fontId="3" type="noConversion"/>
  </si>
  <si>
    <t>Normalized FCFE Analysis</t>
    <phoneticPr fontId="3" type="noConversion"/>
  </si>
  <si>
    <t>After-tax Profit Growth</t>
    <phoneticPr fontId="3" type="noConversion"/>
  </si>
  <si>
    <t>Pre-tax Minority Interests/Sales</t>
    <phoneticPr fontId="3" type="noConversion"/>
  </si>
  <si>
    <t>Operating Equity Valuation</t>
    <phoneticPr fontId="3" type="noConversion"/>
  </si>
  <si>
    <t>https://pages.stern.nyu.edu/~adamodar/New_Home_Page/datafile/wcdata.html</t>
    <phoneticPr fontId="3" type="noConversion"/>
  </si>
  <si>
    <t>Note:</t>
    <phoneticPr fontId="3" type="noConversion"/>
  </si>
  <si>
    <t>Income Statement</t>
    <phoneticPr fontId="3" type="noConversion"/>
  </si>
  <si>
    <t>Balance Sheet</t>
    <phoneticPr fontId="3" type="noConversion"/>
  </si>
  <si>
    <t>Restricted cash</t>
    <phoneticPr fontId="3" type="noConversion"/>
  </si>
  <si>
    <t>Non-Operating Assets</t>
    <phoneticPr fontId="3" type="noConversion"/>
  </si>
  <si>
    <t>Total Equity</t>
    <phoneticPr fontId="3" type="noConversion"/>
  </si>
  <si>
    <t>Non-common Interest</t>
    <phoneticPr fontId="3" type="noConversion"/>
  </si>
  <si>
    <t>Non-operating Cash</t>
    <phoneticPr fontId="3" type="noConversion"/>
  </si>
  <si>
    <t>Operating Assets</t>
    <phoneticPr fontId="3" type="noConversion"/>
  </si>
  <si>
    <t>Non-operating Assets</t>
    <phoneticPr fontId="3" type="noConversion"/>
  </si>
  <si>
    <t>Net Non-operating Assets</t>
    <phoneticPr fontId="3" type="noConversion"/>
  </si>
  <si>
    <t>Net Operating Assets</t>
    <phoneticPr fontId="3" type="noConversion"/>
  </si>
  <si>
    <t>- Noncommon Interest</t>
    <phoneticPr fontId="3" type="noConversion"/>
  </si>
  <si>
    <t>+ Net Non-Operating Valuation</t>
    <phoneticPr fontId="3" type="noConversion"/>
  </si>
  <si>
    <t>ST Inventory</t>
    <phoneticPr fontId="3" type="noConversion"/>
  </si>
  <si>
    <t>2. Total Debt + PS + Options</t>
    <phoneticPr fontId="3" type="noConversion"/>
  </si>
  <si>
    <t xml:space="preserve"> - (Total Debt + PS + Options)</t>
    <phoneticPr fontId="3" type="noConversion"/>
  </si>
  <si>
    <t>- Non-intreset-bearing Debt</t>
    <phoneticPr fontId="3" type="noConversion"/>
  </si>
  <si>
    <t>3. Non-operating Assets</t>
    <phoneticPr fontId="3" type="noConversion"/>
  </si>
  <si>
    <t>4. Operating Assets</t>
    <phoneticPr fontId="3" type="noConversion"/>
  </si>
  <si>
    <t>Adj. Pre-tax ROA</t>
  </si>
  <si>
    <t>Operating ST Financial Assets</t>
  </si>
  <si>
    <t>Operating LT Financial Assets</t>
  </si>
  <si>
    <t>EPS</t>
  </si>
  <si>
    <t>Operating Equity Valuation</t>
  </si>
  <si>
    <t>Last Revision:</t>
  </si>
  <si>
    <t>After-tax Profit =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</si>
  <si>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</si>
  <si>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</si>
  <si>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</si>
  <si>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</si>
  <si>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</si>
  <si>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</si>
  <si>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</si>
  <si>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</si>
  <si>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</si>
  <si>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</si>
  <si>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</si>
  <si>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</si>
  <si>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</si>
  <si>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Notes</t>
  </si>
  <si>
    <t>CN Onshore BBB- Bond yield</t>
  </si>
  <si>
    <t>CN Offshore BBB- Bond yield</t>
  </si>
  <si>
    <t>PB Ratio</t>
  </si>
  <si>
    <t>HK</t>
  </si>
  <si>
    <t>Watchlist &amp; Comp_Group:</t>
  </si>
  <si>
    <t>Normalized D/P</t>
  </si>
  <si>
    <t>Symbol:</t>
  </si>
  <si>
    <t>Name:</t>
  </si>
  <si>
    <t>Valued @</t>
    <phoneticPr fontId="3" type="noConversion"/>
  </si>
  <si>
    <t>Avg of E and D method</t>
    <phoneticPr fontId="3" type="noConversion"/>
  </si>
  <si>
    <t>Avg Valuation</t>
    <phoneticPr fontId="3" type="noConversion"/>
  </si>
  <si>
    <t>CAGR Calculator</t>
    <phoneticPr fontId="3" type="noConversion"/>
  </si>
  <si>
    <t>Inputs =</t>
    <phoneticPr fontId="3" type="noConversion"/>
  </si>
  <si>
    <t>CAGR =</t>
    <phoneticPr fontId="3" type="noConversion"/>
  </si>
  <si>
    <t>Initial Value (PV)</t>
    <phoneticPr fontId="3" type="noConversion"/>
  </si>
  <si>
    <t>Final Value (FV)</t>
    <phoneticPr fontId="3" type="noConversion"/>
  </si>
  <si>
    <t># of Years</t>
    <phoneticPr fontId="3" type="noConversion"/>
  </si>
  <si>
    <t>Base Case</t>
    <phoneticPr fontId="3" type="noConversion"/>
  </si>
  <si>
    <t>Pessimistic Case</t>
    <phoneticPr fontId="3" type="noConversion"/>
  </si>
  <si>
    <t>Dividend per share</t>
    <phoneticPr fontId="3" type="noConversion"/>
  </si>
  <si>
    <t>E/P Initial Rate of Retrun</t>
    <phoneticPr fontId="3" type="noConversion"/>
  </si>
  <si>
    <t>E/P Future Value is</t>
    <phoneticPr fontId="3" type="noConversion"/>
  </si>
  <si>
    <t>D/P Future Value is</t>
    <phoneticPr fontId="3" type="noConversion"/>
  </si>
  <si>
    <t>Target Return</t>
    <phoneticPr fontId="3" type="noConversion"/>
  </si>
  <si>
    <t>Target</t>
    <phoneticPr fontId="3" type="noConversion"/>
  </si>
  <si>
    <t>Lower</t>
    <phoneticPr fontId="3" type="noConversion"/>
  </si>
  <si>
    <t>Inputs</t>
    <phoneticPr fontId="3" type="noConversion"/>
  </si>
  <si>
    <t>Watchlist</t>
    <phoneticPr fontId="3" type="noConversion"/>
  </si>
  <si>
    <t>Comp_Group:</t>
    <phoneticPr fontId="3" type="noConversion"/>
  </si>
  <si>
    <t>Number of Shares:</t>
    <phoneticPr fontId="3" type="noConversion"/>
  </si>
  <si>
    <t>Reporting Currency:</t>
    <phoneticPr fontId="3" type="noConversion"/>
  </si>
  <si>
    <t>Most Recent Quarter</t>
    <phoneticPr fontId="3" type="noConversion"/>
  </si>
  <si>
    <t>D/P Dividend Yield</t>
    <phoneticPr fontId="3" type="noConversion"/>
  </si>
  <si>
    <t>Earnings Power Checklist</t>
    <phoneticPr fontId="3" type="noConversion"/>
  </si>
  <si>
    <t>Present</t>
    <phoneticPr fontId="3" type="noConversion"/>
  </si>
  <si>
    <t>1. Consumer monopoly?</t>
    <phoneticPr fontId="3" type="noConversion"/>
  </si>
  <si>
    <t>2. Conservatively financed?</t>
    <phoneticPr fontId="3" type="noConversion"/>
  </si>
  <si>
    <t>Future</t>
    <phoneticPr fontId="3" type="noConversion"/>
  </si>
  <si>
    <t>5. Can earnings be sustained?</t>
    <phoneticPr fontId="3" type="noConversion"/>
  </si>
  <si>
    <t>Consumer Monopoly Test</t>
    <phoneticPr fontId="3" type="noConversion"/>
  </si>
  <si>
    <t>If you had access to billions of dollars and your pick of the top fifty managers in the country, could you start a business and successfully compete with the business in question?</t>
    <phoneticPr fontId="3" type="noConversion"/>
  </si>
  <si>
    <t>6. No big MCX-D&amp;A required?</t>
  </si>
  <si>
    <t>EBIT =</t>
    <phoneticPr fontId="3" type="noConversion"/>
  </si>
  <si>
    <t>EBIT</t>
    <phoneticPr fontId="3" type="noConversion"/>
  </si>
  <si>
    <t>(OPEX+R&amp;D)/Sales</t>
    <phoneticPr fontId="3" type="noConversion"/>
  </si>
  <si>
    <t>CAPX/Sales</t>
    <phoneticPr fontId="3" type="noConversion"/>
  </si>
  <si>
    <t>(CAPX-D&amp;A)/Sales</t>
    <phoneticPr fontId="3" type="noConversion"/>
  </si>
  <si>
    <t>Mid</t>
    <phoneticPr fontId="3" type="noConversion"/>
  </si>
  <si>
    <t>3. Upward earnings trend?</t>
    <phoneticPr fontId="3" type="noConversion"/>
  </si>
  <si>
    <t>4. Stable margin and ROE?</t>
    <phoneticPr fontId="3" type="noConversion"/>
  </si>
  <si>
    <t>- Pre-tax Non-controling Interests</t>
    <phoneticPr fontId="3" type="noConversion"/>
  </si>
  <si>
    <t>EBIT/Sales</t>
    <phoneticPr fontId="3" type="noConversion"/>
  </si>
  <si>
    <t>EBIT Growth</t>
    <phoneticPr fontId="3" type="noConversion"/>
  </si>
  <si>
    <t>- (CAPX - D&amp;A)</t>
    <phoneticPr fontId="3" type="noConversion"/>
  </si>
  <si>
    <t>- (OPEX + R&amp;D) =</t>
    <phoneticPr fontId="3" type="noConversion"/>
  </si>
  <si>
    <t>Valuation method</t>
    <phoneticPr fontId="3" type="noConversion"/>
  </si>
  <si>
    <t>Dividend Yield</t>
    <phoneticPr fontId="3" type="noConversion"/>
  </si>
  <si>
    <t>Discount Rate (US)</t>
    <phoneticPr fontId="3" type="noConversion"/>
  </si>
  <si>
    <t>Discount Rate (CN)</t>
    <phoneticPr fontId="3" type="noConversion"/>
  </si>
  <si>
    <t>Choice of Discount Rate</t>
    <phoneticPr fontId="3" type="noConversion"/>
  </si>
  <si>
    <t>- Interest Expense</t>
    <phoneticPr fontId="3" type="noConversion"/>
  </si>
  <si>
    <t>Base Case Valuation</t>
    <phoneticPr fontId="3" type="noConversion"/>
  </si>
  <si>
    <t>Normalized PE Ratio</t>
    <phoneticPr fontId="3" type="noConversion"/>
  </si>
  <si>
    <t>LT AR or Prepayments</t>
    <phoneticPr fontId="3" type="noConversion"/>
  </si>
  <si>
    <t>Prepayments or Contract Assets</t>
    <phoneticPr fontId="3" type="noConversion"/>
  </si>
  <si>
    <t>ΔWC/Δsales</t>
    <phoneticPr fontId="3" type="noConversion"/>
  </si>
  <si>
    <t>Profibility Analysis</t>
    <phoneticPr fontId="3" type="noConversion"/>
  </si>
  <si>
    <t>Asset Turnover</t>
    <phoneticPr fontId="3" type="noConversion"/>
  </si>
  <si>
    <t>Leverage Analysis</t>
    <phoneticPr fontId="3" type="noConversion"/>
  </si>
  <si>
    <t>Common_Equity / Total Assets</t>
    <phoneticPr fontId="3" type="noConversion"/>
  </si>
  <si>
    <t>ROE</t>
    <phoneticPr fontId="3" type="noConversion"/>
  </si>
  <si>
    <t>EBIT ROE</t>
    <phoneticPr fontId="3" type="noConversion"/>
  </si>
  <si>
    <t>Pre-tax ROE</t>
    <phoneticPr fontId="3" type="noConversion"/>
  </si>
  <si>
    <t>Sales/Total_Assets</t>
    <phoneticPr fontId="3" type="noConversion"/>
  </si>
  <si>
    <t>ST_AR / Sales</t>
    <phoneticPr fontId="3" type="noConversion"/>
  </si>
  <si>
    <t>ST_Inventory / Sales</t>
    <phoneticPr fontId="3" type="noConversion"/>
  </si>
  <si>
    <t>EBIT Margin</t>
    <phoneticPr fontId="3" type="noConversion"/>
  </si>
  <si>
    <t>Interest Expense</t>
    <phoneticPr fontId="3" type="noConversion"/>
  </si>
  <si>
    <t>Normalized ΔWC</t>
    <phoneticPr fontId="3" type="noConversion"/>
  </si>
  <si>
    <t>Normalized CAPX-D&amp;A</t>
    <phoneticPr fontId="3" type="noConversion"/>
  </si>
  <si>
    <t>ROE &amp; Cost Structure</t>
    <phoneticPr fontId="3" type="noConversion"/>
  </si>
  <si>
    <t>Total Liabilities</t>
    <phoneticPr fontId="3" type="noConversion"/>
  </si>
  <si>
    <t>PlaceHolder_1</t>
    <phoneticPr fontId="3" type="noConversion"/>
  </si>
  <si>
    <t>Asset Turnover Ratio</t>
    <phoneticPr fontId="3" type="noConversion"/>
  </si>
  <si>
    <t># In general, the higher the accounts receivable, the higher the inventory, and the lower the fixed assets, the lower the asset turnover ratio.</t>
    <phoneticPr fontId="3" type="noConversion"/>
  </si>
  <si>
    <t>PlaceHolder_3</t>
    <phoneticPr fontId="3" type="noConversion"/>
  </si>
  <si>
    <t>PlaceHolder_4</t>
    <phoneticPr fontId="3" type="noConversion"/>
  </si>
  <si>
    <t>Contingent Liabilities</t>
    <phoneticPr fontId="3" type="noConversion"/>
  </si>
  <si>
    <t>Contin. Liabilities / Total Assets</t>
    <phoneticPr fontId="3" type="noConversion"/>
  </si>
  <si>
    <t>Leverage Ratio</t>
    <phoneticPr fontId="3" type="noConversion"/>
  </si>
  <si>
    <t>https://pages.stern.nyu.edu/~adamodar/New_Home_Page/datafile/countrytaxrates.html</t>
    <phoneticPr fontId="3" type="noConversion"/>
  </si>
  <si>
    <t>Nonop Assets Valuation</t>
  </si>
  <si>
    <t>Nonop Assets per share</t>
  </si>
  <si>
    <t>Net Nonop Assets FV</t>
  </si>
  <si>
    <t>Net Nonop Assets PV</t>
  </si>
  <si>
    <t>HKD</t>
    <phoneticPr fontId="3" type="noConversion"/>
  </si>
  <si>
    <t>Market Yields</t>
    <phoneticPr fontId="3" type="noConversion"/>
  </si>
  <si>
    <t>Price Indicators</t>
    <phoneticPr fontId="3" type="noConversion"/>
  </si>
  <si>
    <t>Balance Sheet items Adjustments</t>
    <phoneticPr fontId="3" type="noConversion"/>
  </si>
  <si>
    <t>Assets</t>
    <phoneticPr fontId="3" type="noConversion"/>
  </si>
  <si>
    <t>Asset Model Output</t>
    <phoneticPr fontId="3" type="noConversion"/>
  </si>
  <si>
    <t>Blue</t>
  </si>
  <si>
    <t>Actual number reported or independently verified</t>
  </si>
  <si>
    <t>Color code key</t>
    <phoneticPr fontId="3" type="noConversion"/>
  </si>
  <si>
    <t>Red</t>
  </si>
  <si>
    <t>An assumption that drives the model. Also used for historical estimates when company information is not available</t>
  </si>
  <si>
    <t>Data not projected; historical data not reported</t>
  </si>
  <si>
    <t>Model last updated:</t>
    <phoneticPr fontId="3" type="noConversion"/>
  </si>
  <si>
    <t>External Drivers</t>
    <phoneticPr fontId="3" type="noConversion"/>
  </si>
  <si>
    <t>Internal Drivers</t>
    <phoneticPr fontId="3" type="noConversion"/>
  </si>
  <si>
    <t>Dividend method</t>
    <phoneticPr fontId="3" type="noConversion"/>
  </si>
  <si>
    <t>Selecting the Valuation method</t>
    <phoneticPr fontId="3" type="noConversion"/>
  </si>
  <si>
    <t>Liabilities</t>
    <phoneticPr fontId="3" type="noConversion"/>
  </si>
  <si>
    <t>CN</t>
  </si>
  <si>
    <t>Reinvest Nonop @</t>
    <phoneticPr fontId="3" type="noConversion"/>
  </si>
  <si>
    <t>PlaceHolder_5</t>
    <phoneticPr fontId="3" type="noConversion"/>
  </si>
  <si>
    <t>6818.HK</t>
  </si>
  <si>
    <t>中国光大银行</t>
  </si>
  <si>
    <t xml:space="preserve">Superior Cycl. </t>
  </si>
  <si>
    <t>C0014</t>
  </si>
  <si>
    <t>CNY</t>
  </si>
  <si>
    <t>Strongly agree</t>
  </si>
  <si>
    <t>agree</t>
  </si>
  <si>
    <t>Consumer Monopoly</t>
  </si>
  <si>
    <t xml:space="preserve">	5,417,703</t>
  </si>
  <si>
    <t>Dividend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</si>
</sst>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  <numFmt numFmtId="188" formatCode="&quot;Riskfree = &quot;0.00%"/>
    <numFmt numFmtId="189" formatCode="0_)"/>
    <numFmt numFmtId="190" formatCode="[$-13C09]d\ mmmm\ yyyy;@"/>
    <numFmt numFmtId="191" formatCode="&quot;for &quot;0&quot; Yrs&quot;"/>
  </numFmts>
  <fonts count="38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b/>
      <sz val="9"/>
      <color indexed="9"/>
      <name val="Arial"/>
      <family val="2"/>
    </font>
    <font>
      <b/>
      <sz val="9"/>
      <color indexed="9"/>
      <name val="Arial"/>
      <family val="2"/>
      <scheme val="major"/>
    </font>
    <font>
      <sz val="9"/>
      <color rgb="FF000000"/>
      <name val="Arial"/>
      <family val="2"/>
      <scheme val="major"/>
    </font>
    <font>
      <b/>
      <sz val="9"/>
      <color rgb="FF002060"/>
      <name val="Arial"/>
      <family val="2"/>
      <scheme val="major"/>
    </font>
    <font>
      <b/>
      <sz val="9"/>
      <color theme="1"/>
      <name val="Arial"/>
      <family val="2"/>
      <scheme val="major"/>
    </font>
    <font>
      <sz val="9"/>
      <color theme="1"/>
      <name val="Arial"/>
      <family val="2"/>
      <scheme val="major"/>
    </font>
    <font>
      <sz val="9"/>
      <color rgb="FF0000FF"/>
      <name val="Arial"/>
      <family val="2"/>
      <scheme val="major"/>
    </font>
    <font>
      <sz val="9"/>
      <name val="Arial"/>
      <family val="2"/>
      <scheme val="major"/>
    </font>
    <font>
      <sz val="9"/>
      <color rgb="FFC00000"/>
      <name val="Arial"/>
      <family val="2"/>
      <scheme val="major"/>
    </font>
    <font>
      <sz val="9"/>
      <color theme="0"/>
      <name val="Arial"/>
      <family val="2"/>
      <scheme val="major"/>
    </font>
    <font>
      <b/>
      <u/>
      <sz val="9"/>
      <color rgb="FF000000"/>
      <name val="Arial"/>
      <family val="2"/>
      <scheme val="major"/>
    </font>
    <font>
      <u/>
      <sz val="9"/>
      <color theme="10"/>
      <name val="Arial"/>
      <family val="2"/>
      <scheme val="major"/>
    </font>
    <font>
      <b/>
      <sz val="9"/>
      <color rgb="FF000000"/>
      <name val="Arial"/>
      <family val="2"/>
      <scheme val="major"/>
    </font>
    <font>
      <b/>
      <sz val="9"/>
      <name val="Arial"/>
      <family val="2"/>
      <scheme val="major"/>
    </font>
    <font>
      <b/>
      <sz val="9"/>
      <color indexed="12"/>
      <name val="Arial"/>
      <family val="2"/>
    </font>
    <font>
      <b/>
      <sz val="9"/>
      <color indexed="10"/>
      <name val="Arial"/>
      <family val="2"/>
    </font>
    <font>
      <b/>
      <sz val="9"/>
      <color rgb="FF0000FF"/>
      <name val="Arial"/>
      <family val="2"/>
    </font>
    <font>
      <b/>
      <sz val="9"/>
      <name val="Arial"/>
      <family val="2"/>
    </font>
    <font>
      <u/>
      <sz val="9"/>
      <color theme="1"/>
      <name val="Arial"/>
      <family val="2"/>
      <scheme val="major"/>
    </font>
    <font>
      <b/>
      <u/>
      <sz val="9"/>
      <color theme="1"/>
      <name val="Arial"/>
      <family val="2"/>
      <scheme val="major"/>
    </font>
    <font>
      <u/>
      <sz val="9"/>
      <color rgb="FF000000"/>
      <name val="Arial"/>
      <family val="2"/>
      <scheme val="major"/>
    </font>
    <font>
      <i/>
      <sz val="9"/>
      <color rgb="FF000000"/>
      <name val="Arial"/>
      <family val="2"/>
      <scheme val="major"/>
    </font>
    <font>
      <sz val="9"/>
      <color rgb="FFFF0000"/>
      <name val="Arial"/>
      <family val="2"/>
      <scheme val="major"/>
    </font>
    <font>
      <i/>
      <sz val="9"/>
      <color rgb="FFFF0000"/>
      <name val="Arial"/>
      <family val="2"/>
      <scheme val="major"/>
    </font>
    <font>
      <b/>
      <sz val="9"/>
      <color rgb="FFFFFFFF"/>
      <name val="Arial"/>
      <family val="2"/>
      <scheme val="major"/>
    </font>
    <font>
      <sz val="9"/>
      <color rgb="FFFFFFFF"/>
      <name val="Arial"/>
      <family val="2"/>
      <scheme val="major"/>
    </font>
    <font>
      <i/>
      <sz val="9"/>
      <name val="Arial"/>
      <family val="2"/>
      <scheme val="major"/>
    </font>
    <font>
      <i/>
      <sz val="9"/>
      <color theme="1"/>
      <name val="Arial"/>
      <family val="2"/>
      <scheme val="major"/>
    </font>
    <font>
      <sz val="9"/>
      <color rgb="FFA61C00"/>
      <name val="Arial"/>
      <family val="2"/>
      <scheme val="major"/>
    </font>
    <font>
      <u/>
      <sz val="9"/>
      <color rgb="FF0000FF"/>
      <name val="Arial"/>
      <family val="2"/>
      <scheme val="major"/>
    </font>
    <font>
      <sz val="9"/>
      <color rgb="FF000000"/>
      <name val="Arial"/>
      <family val="2"/>
      <scheme val="minor"/>
    </font>
    <font>
      <b/>
      <sz val="9"/>
      <color rgb="FF000000"/>
      <name val="Arial"/>
      <family val="2"/>
      <scheme val="minor"/>
    </font>
    <font>
      <sz val="9"/>
      <color rgb="FFFF0000"/>
      <name val="Arial"/>
      <family val="2"/>
      <scheme val="minor"/>
    </font>
    <font>
      <b/>
      <sz val="9"/>
      <color theme="0"/>
      <name val="Arial"/>
      <family val="2"/>
      <scheme val="major"/>
    </font>
  </fonts>
  <fills count="16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2F75B5"/>
        <bgColor rgb="FF1C4587"/>
      </patternFill>
    </fill>
    <fill>
      <patternFill patternType="solid">
        <fgColor theme="0" tint="-0.34998626667073579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25">
    <xf numFmtId="0" fontId="0" fillId="0" borderId="0" xfId="0"/>
    <xf numFmtId="189" fontId="4" fillId="13" borderId="0" xfId="0" applyNumberFormat="1" applyFont="1" applyFill="1" applyAlignment="1">
      <alignment horizontal="left" wrapText="1"/>
    </xf>
    <xf numFmtId="0" fontId="6" fillId="0" borderId="0" xfId="0" applyFont="1"/>
    <xf numFmtId="0" fontId="6" fillId="0" borderId="3" xfId="0" applyFont="1" applyBorder="1"/>
    <xf numFmtId="0" fontId="6" fillId="5" borderId="3" xfId="0" applyFont="1" applyFill="1" applyBorder="1"/>
    <xf numFmtId="0" fontId="7" fillId="0" borderId="1" xfId="0" applyFont="1" applyBorder="1"/>
    <xf numFmtId="0" fontId="8" fillId="0" borderId="3" xfId="0" applyFont="1" applyBorder="1"/>
    <xf numFmtId="0" fontId="6" fillId="0" borderId="1" xfId="0" applyFont="1" applyBorder="1"/>
    <xf numFmtId="0" fontId="6" fillId="0" borderId="4" xfId="0" applyFont="1" applyBorder="1"/>
    <xf numFmtId="0" fontId="9" fillId="0" borderId="3" xfId="0" applyFont="1" applyBorder="1"/>
    <xf numFmtId="4" fontId="10" fillId="0" borderId="3" xfId="0" applyNumberFormat="1" applyFont="1" applyBorder="1" applyAlignment="1">
      <alignment horizontal="right"/>
    </xf>
    <xf numFmtId="0" fontId="10" fillId="0" borderId="3" xfId="0" applyFont="1" applyBorder="1" applyAlignment="1">
      <alignment horizontal="left"/>
    </xf>
    <xf numFmtId="0" fontId="9" fillId="0" borderId="4" xfId="0" applyFont="1" applyBorder="1"/>
    <xf numFmtId="3" fontId="10" fillId="0" borderId="3" xfId="0" applyNumberFormat="1" applyFont="1" applyBorder="1" applyAlignment="1">
      <alignment horizontal="center"/>
    </xf>
    <xf numFmtId="176" fontId="6" fillId="0" borderId="0" xfId="1" applyFont="1"/>
    <xf numFmtId="0" fontId="11" fillId="0" borderId="3" xfId="0" applyFont="1" applyBorder="1"/>
    <xf numFmtId="0" fontId="12" fillId="0" borderId="3" xfId="0" applyFont="1" applyBorder="1"/>
    <xf numFmtId="182" fontId="6" fillId="0" borderId="0" xfId="1" applyNumberFormat="1" applyFont="1"/>
    <xf numFmtId="0" fontId="6" fillId="0" borderId="0" xfId="0" quotePrefix="1" applyFont="1"/>
    <xf numFmtId="177" fontId="11" fillId="0" borderId="3" xfId="0" applyNumberFormat="1" applyFont="1" applyBorder="1" applyAlignment="1">
      <alignment horizontal="center"/>
    </xf>
    <xf numFmtId="181" fontId="13" fillId="0" borderId="3" xfId="0" applyNumberFormat="1" applyFont="1" applyBorder="1" applyAlignment="1">
      <alignment horizontal="center"/>
    </xf>
    <xf numFmtId="4" fontId="10" fillId="0" borderId="4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4" fillId="0" borderId="0" xfId="0" applyFont="1"/>
    <xf numFmtId="10" fontId="10" fillId="0" borderId="14" xfId="0" applyNumberFormat="1" applyFont="1" applyBorder="1" applyAlignment="1">
      <alignment horizontal="right"/>
    </xf>
    <xf numFmtId="0" fontId="15" fillId="0" borderId="0" xfId="2" applyFont="1"/>
    <xf numFmtId="0" fontId="6" fillId="0" borderId="7" xfId="0" applyFont="1" applyBorder="1"/>
    <xf numFmtId="10" fontId="10" fillId="0" borderId="15" xfId="0" applyNumberFormat="1" applyFont="1" applyBorder="1" applyAlignment="1">
      <alignment horizontal="right"/>
    </xf>
    <xf numFmtId="0" fontId="6" fillId="0" borderId="14" xfId="0" applyFont="1" applyBorder="1" applyAlignment="1">
      <alignment horizontal="center"/>
    </xf>
    <xf numFmtId="10" fontId="10" fillId="0" borderId="14" xfId="0" applyNumberFormat="1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10" fontId="6" fillId="0" borderId="24" xfId="0" applyNumberFormat="1" applyFont="1" applyBorder="1" applyAlignment="1">
      <alignment horizontal="right"/>
    </xf>
    <xf numFmtId="0" fontId="6" fillId="0" borderId="25" xfId="0" applyFont="1" applyBorder="1" applyAlignment="1">
      <alignment horizontal="center"/>
    </xf>
    <xf numFmtId="10" fontId="6" fillId="0" borderId="26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180" fontId="6" fillId="0" borderId="28" xfId="0" applyNumberFormat="1" applyFont="1" applyBorder="1" applyAlignment="1">
      <alignment horizontal="right"/>
    </xf>
    <xf numFmtId="0" fontId="6" fillId="0" borderId="29" xfId="0" applyFont="1" applyBorder="1" applyAlignment="1">
      <alignment horizontal="center"/>
    </xf>
    <xf numFmtId="180" fontId="6" fillId="0" borderId="30" xfId="0" applyNumberFormat="1" applyFont="1" applyBorder="1" applyAlignment="1">
      <alignment horizontal="right"/>
    </xf>
    <xf numFmtId="0" fontId="6" fillId="0" borderId="14" xfId="0" applyFont="1" applyBorder="1"/>
    <xf numFmtId="179" fontId="9" fillId="0" borderId="14" xfId="0" applyNumberFormat="1" applyFont="1" applyBorder="1" applyAlignment="1">
      <alignment horizontal="right"/>
    </xf>
    <xf numFmtId="0" fontId="6" fillId="0" borderId="17" xfId="0" applyFont="1" applyBorder="1" applyAlignment="1">
      <alignment horizontal="center"/>
    </xf>
    <xf numFmtId="10" fontId="6" fillId="0" borderId="17" xfId="0" applyNumberFormat="1" applyFont="1" applyBorder="1" applyAlignment="1">
      <alignment horizontal="right"/>
    </xf>
    <xf numFmtId="180" fontId="9" fillId="0" borderId="14" xfId="0" applyNumberFormat="1" applyFont="1" applyBorder="1" applyAlignment="1">
      <alignment horizontal="right"/>
    </xf>
    <xf numFmtId="10" fontId="6" fillId="0" borderId="14" xfId="0" applyNumberFormat="1" applyFont="1" applyBorder="1" applyAlignment="1">
      <alignment horizontal="right"/>
    </xf>
    <xf numFmtId="0" fontId="6" fillId="0" borderId="14" xfId="0" quotePrefix="1" applyFont="1" applyBorder="1" applyAlignment="1">
      <alignment horizontal="center"/>
    </xf>
    <xf numFmtId="0" fontId="9" fillId="0" borderId="14" xfId="0" applyFont="1" applyBorder="1"/>
    <xf numFmtId="10" fontId="9" fillId="0" borderId="14" xfId="0" applyNumberFormat="1" applyFont="1" applyBorder="1" applyAlignment="1">
      <alignment horizontal="right"/>
    </xf>
    <xf numFmtId="0" fontId="7" fillId="0" borderId="4" xfId="0" applyFont="1" applyBorder="1"/>
    <xf numFmtId="0" fontId="16" fillId="0" borderId="4" xfId="0" applyFont="1" applyBorder="1" applyAlignment="1">
      <alignment horizontal="center"/>
    </xf>
    <xf numFmtId="10" fontId="17" fillId="0" borderId="4" xfId="0" applyNumberFormat="1" applyFont="1" applyBorder="1" applyAlignment="1">
      <alignment horizontal="center"/>
    </xf>
    <xf numFmtId="4" fontId="9" fillId="0" borderId="4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3" xfId="0" applyNumberFormat="1" applyFont="1" applyBorder="1" applyAlignment="1">
      <alignment horizontal="center"/>
    </xf>
    <xf numFmtId="39" fontId="6" fillId="0" borderId="3" xfId="1" applyNumberFormat="1" applyFont="1" applyBorder="1" applyAlignment="1">
      <alignment horizontal="center"/>
    </xf>
    <xf numFmtId="2" fontId="6" fillId="0" borderId="0" xfId="1" applyNumberFormat="1" applyFont="1" applyAlignment="1">
      <alignment horizontal="left"/>
    </xf>
    <xf numFmtId="0" fontId="9" fillId="0" borderId="0" xfId="0" quotePrefix="1" applyFont="1"/>
    <xf numFmtId="0" fontId="9" fillId="0" borderId="0" xfId="0" applyFont="1"/>
    <xf numFmtId="0" fontId="11" fillId="0" borderId="18" xfId="0" applyFont="1" applyBorder="1" applyAlignment="1">
      <alignment horizontal="center"/>
    </xf>
    <xf numFmtId="0" fontId="6" fillId="0" borderId="0" xfId="0" applyFont="1" applyAlignment="1">
      <alignment wrapText="1"/>
    </xf>
    <xf numFmtId="0" fontId="18" fillId="0" borderId="0" xfId="0" applyFont="1" applyAlignment="1">
      <alignment vertical="top" wrapText="1"/>
    </xf>
    <xf numFmtId="0" fontId="18" fillId="0" borderId="0" xfId="0" applyFont="1" applyAlignment="1">
      <alignment horizontal="left" vertical="top" wrapText="1"/>
    </xf>
    <xf numFmtId="0" fontId="4" fillId="0" borderId="0" xfId="0" applyFont="1"/>
    <xf numFmtId="0" fontId="19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21" fillId="0" borderId="0" xfId="0" applyFont="1" applyAlignment="1">
      <alignment horizontal="left" vertical="top"/>
    </xf>
    <xf numFmtId="49" fontId="10" fillId="8" borderId="14" xfId="0" applyNumberFormat="1" applyFont="1" applyFill="1" applyBorder="1" applyAlignment="1">
      <alignment horizontal="right"/>
    </xf>
    <xf numFmtId="0" fontId="10" fillId="8" borderId="14" xfId="0" applyFont="1" applyFill="1" applyBorder="1" applyAlignment="1">
      <alignment horizontal="right"/>
    </xf>
    <xf numFmtId="177" fontId="10" fillId="8" borderId="14" xfId="0" applyNumberFormat="1" applyFont="1" applyFill="1" applyBorder="1" applyAlignment="1">
      <alignment horizontal="right"/>
    </xf>
    <xf numFmtId="0" fontId="10" fillId="7" borderId="14" xfId="0" applyFont="1" applyFill="1" applyBorder="1" applyAlignment="1">
      <alignment horizontal="right"/>
    </xf>
    <xf numFmtId="3" fontId="10" fillId="7" borderId="14" xfId="0" applyNumberFormat="1" applyFont="1" applyFill="1" applyBorder="1"/>
    <xf numFmtId="0" fontId="9" fillId="0" borderId="14" xfId="0" applyFont="1" applyBorder="1" applyAlignment="1">
      <alignment horizontal="left"/>
    </xf>
    <xf numFmtId="181" fontId="10" fillId="8" borderId="14" xfId="0" applyNumberFormat="1" applyFont="1" applyFill="1" applyBorder="1" applyAlignment="1">
      <alignment horizontal="right"/>
    </xf>
    <xf numFmtId="3" fontId="10" fillId="8" borderId="14" xfId="0" applyNumberFormat="1" applyFont="1" applyFill="1" applyBorder="1" applyAlignment="1">
      <alignment horizontal="right"/>
    </xf>
    <xf numFmtId="0" fontId="6" fillId="0" borderId="14" xfId="0" quotePrefix="1" applyFont="1" applyBorder="1"/>
    <xf numFmtId="0" fontId="10" fillId="0" borderId="0" xfId="0" applyFont="1"/>
    <xf numFmtId="0" fontId="17" fillId="0" borderId="8" xfId="0" applyFont="1" applyBorder="1" applyAlignment="1">
      <alignment horizontal="center" wrapText="1"/>
    </xf>
    <xf numFmtId="181" fontId="13" fillId="4" borderId="2" xfId="0" applyNumberFormat="1" applyFont="1" applyFill="1" applyBorder="1" applyAlignment="1">
      <alignment horizontal="center"/>
    </xf>
    <xf numFmtId="181" fontId="13" fillId="4" borderId="6" xfId="0" applyNumberFormat="1" applyFont="1" applyFill="1" applyBorder="1" applyAlignment="1">
      <alignment horizontal="center"/>
    </xf>
    <xf numFmtId="0" fontId="11" fillId="0" borderId="3" xfId="0" applyFont="1" applyBorder="1" applyAlignment="1">
      <alignment horizontal="center" wrapText="1"/>
    </xf>
    <xf numFmtId="3" fontId="10" fillId="8" borderId="5" xfId="0" applyNumberFormat="1" applyFont="1" applyFill="1" applyBorder="1" applyAlignment="1">
      <alignment horizontal="right"/>
    </xf>
    <xf numFmtId="0" fontId="11" fillId="0" borderId="3" xfId="0" quotePrefix="1" applyFont="1" applyBorder="1" applyAlignment="1">
      <alignment horizontal="center" wrapText="1"/>
    </xf>
    <xf numFmtId="3" fontId="10" fillId="8" borderId="3" xfId="0" applyNumberFormat="1" applyFont="1" applyFill="1" applyBorder="1" applyAlignment="1">
      <alignment horizontal="right"/>
    </xf>
    <xf numFmtId="0" fontId="11" fillId="0" borderId="0" xfId="0" quotePrefix="1" applyFont="1" applyAlignment="1">
      <alignment horizontal="center"/>
    </xf>
    <xf numFmtId="3" fontId="11" fillId="10" borderId="3" xfId="0" applyNumberFormat="1" applyFont="1" applyFill="1" applyBorder="1" applyAlignment="1">
      <alignment horizontal="right"/>
    </xf>
    <xf numFmtId="0" fontId="22" fillId="0" borderId="3" xfId="0" applyFont="1" applyBorder="1" applyAlignment="1">
      <alignment horizontal="center"/>
    </xf>
    <xf numFmtId="185" fontId="10" fillId="7" borderId="3" xfId="0" applyNumberFormat="1" applyFont="1" applyFill="1" applyBorder="1" applyAlignment="1">
      <alignment horizontal="right"/>
    </xf>
    <xf numFmtId="10" fontId="11" fillId="0" borderId="3" xfId="0" applyNumberFormat="1" applyFont="1" applyBorder="1" applyAlignment="1">
      <alignment horizontal="right"/>
    </xf>
    <xf numFmtId="0" fontId="16" fillId="6" borderId="3" xfId="0" applyFont="1" applyFill="1" applyBorder="1"/>
    <xf numFmtId="0" fontId="23" fillId="0" borderId="3" xfId="0" applyFont="1" applyBorder="1" applyAlignment="1">
      <alignment horizontal="center"/>
    </xf>
    <xf numFmtId="0" fontId="24" fillId="0" borderId="3" xfId="0" applyFont="1" applyBorder="1" applyAlignment="1">
      <alignment horizontal="left"/>
    </xf>
    <xf numFmtId="3" fontId="10" fillId="7" borderId="3" xfId="0" applyNumberFormat="1" applyFont="1" applyFill="1" applyBorder="1"/>
    <xf numFmtId="0" fontId="6" fillId="0" borderId="3" xfId="0" applyFont="1" applyBorder="1" applyAlignment="1">
      <alignment horizontal="left"/>
    </xf>
    <xf numFmtId="3" fontId="10" fillId="7" borderId="4" xfId="0" applyNumberFormat="1" applyFont="1" applyFill="1" applyBorder="1"/>
    <xf numFmtId="0" fontId="9" fillId="0" borderId="19" xfId="0" applyFont="1" applyBorder="1"/>
    <xf numFmtId="3" fontId="10" fillId="7" borderId="19" xfId="0" applyNumberFormat="1" applyFont="1" applyFill="1" applyBorder="1"/>
    <xf numFmtId="0" fontId="9" fillId="0" borderId="9" xfId="0" applyFont="1" applyBorder="1"/>
    <xf numFmtId="3" fontId="10" fillId="7" borderId="9" xfId="0" applyNumberFormat="1" applyFont="1" applyFill="1" applyBorder="1"/>
    <xf numFmtId="0" fontId="6" fillId="0" borderId="3" xfId="0" quotePrefix="1" applyFont="1" applyBorder="1"/>
    <xf numFmtId="0" fontId="7" fillId="0" borderId="1" xfId="0" applyFont="1" applyBorder="1" applyAlignment="1">
      <alignment vertical="center"/>
    </xf>
    <xf numFmtId="0" fontId="16" fillId="0" borderId="3" xfId="0" applyFont="1" applyBorder="1"/>
    <xf numFmtId="0" fontId="25" fillId="0" borderId="1" xfId="0" applyFont="1" applyBorder="1" applyAlignment="1">
      <alignment horizontal="right"/>
    </xf>
    <xf numFmtId="3" fontId="9" fillId="0" borderId="3" xfId="0" applyNumberFormat="1" applyFont="1" applyBorder="1" applyAlignment="1">
      <alignment horizontal="right"/>
    </xf>
    <xf numFmtId="9" fontId="25" fillId="10" borderId="3" xfId="0" applyNumberFormat="1" applyFont="1" applyFill="1" applyBorder="1" applyAlignment="1">
      <alignment horizontal="right"/>
    </xf>
    <xf numFmtId="3" fontId="26" fillId="7" borderId="20" xfId="0" applyNumberFormat="1" applyFont="1" applyFill="1" applyBorder="1" applyAlignment="1">
      <alignment horizontal="right"/>
    </xf>
    <xf numFmtId="0" fontId="9" fillId="0" borderId="3" xfId="0" quotePrefix="1" applyFont="1" applyBorder="1"/>
    <xf numFmtId="10" fontId="25" fillId="0" borderId="0" xfId="0" applyNumberFormat="1" applyFont="1" applyAlignment="1">
      <alignment horizontal="right"/>
    </xf>
    <xf numFmtId="3" fontId="26" fillId="7" borderId="21" xfId="0" applyNumberFormat="1" applyFont="1" applyFill="1" applyBorder="1" applyAlignment="1">
      <alignment horizontal="right"/>
    </xf>
    <xf numFmtId="3" fontId="11" fillId="10" borderId="21" xfId="0" applyNumberFormat="1" applyFont="1" applyFill="1" applyBorder="1" applyAlignment="1">
      <alignment horizontal="right"/>
    </xf>
    <xf numFmtId="185" fontId="11" fillId="0" borderId="4" xfId="0" applyNumberFormat="1" applyFont="1" applyBorder="1" applyAlignment="1">
      <alignment horizontal="right"/>
    </xf>
    <xf numFmtId="9" fontId="25" fillId="10" borderId="22" xfId="0" applyNumberFormat="1" applyFont="1" applyFill="1" applyBorder="1" applyAlignment="1">
      <alignment horizontal="right"/>
    </xf>
    <xf numFmtId="185" fontId="26" fillId="7" borderId="17" xfId="0" applyNumberFormat="1" applyFont="1" applyFill="1" applyBorder="1" applyAlignment="1">
      <alignment horizontal="right"/>
    </xf>
    <xf numFmtId="3" fontId="26" fillId="7" borderId="3" xfId="0" applyNumberFormat="1" applyFont="1" applyFill="1" applyBorder="1" applyAlignment="1">
      <alignment horizontal="right"/>
    </xf>
    <xf numFmtId="187" fontId="26" fillId="7" borderId="3" xfId="0" applyNumberFormat="1" applyFont="1" applyFill="1" applyBorder="1" applyAlignment="1">
      <alignment horizontal="center"/>
    </xf>
    <xf numFmtId="10" fontId="26" fillId="7" borderId="3" xfId="0" applyNumberFormat="1" applyFont="1" applyFill="1" applyBorder="1" applyAlignment="1">
      <alignment horizontal="center"/>
    </xf>
    <xf numFmtId="10" fontId="26" fillId="7" borderId="4" xfId="0" applyNumberFormat="1" applyFont="1" applyFill="1" applyBorder="1" applyAlignment="1">
      <alignment horizontal="center"/>
    </xf>
    <xf numFmtId="10" fontId="26" fillId="7" borderId="19" xfId="0" applyNumberFormat="1" applyFont="1" applyFill="1" applyBorder="1" applyAlignment="1">
      <alignment horizontal="center"/>
    </xf>
    <xf numFmtId="0" fontId="26" fillId="0" borderId="18" xfId="0" applyFont="1" applyBorder="1" applyAlignment="1">
      <alignment horizontal="center"/>
    </xf>
    <xf numFmtId="0" fontId="26" fillId="0" borderId="18" xfId="0" applyFont="1" applyBorder="1" applyAlignment="1">
      <alignment horizontal="center" vertical="center" wrapText="1"/>
    </xf>
    <xf numFmtId="10" fontId="26" fillId="0" borderId="17" xfId="0" applyNumberFormat="1" applyFont="1" applyBorder="1" applyAlignment="1">
      <alignment horizontal="right"/>
    </xf>
    <xf numFmtId="10" fontId="26" fillId="0" borderId="16" xfId="0" applyNumberFormat="1" applyFont="1" applyBorder="1" applyAlignment="1">
      <alignment horizontal="right"/>
    </xf>
    <xf numFmtId="10" fontId="26" fillId="0" borderId="14" xfId="0" applyNumberFormat="1" applyFont="1" applyBorder="1" applyAlignment="1">
      <alignment horizontal="right"/>
    </xf>
    <xf numFmtId="10" fontId="26" fillId="7" borderId="14" xfId="0" applyNumberFormat="1" applyFont="1" applyFill="1" applyBorder="1" applyAlignment="1">
      <alignment horizontal="right"/>
    </xf>
    <xf numFmtId="0" fontId="26" fillId="8" borderId="14" xfId="0" applyFont="1" applyFill="1" applyBorder="1" applyAlignment="1">
      <alignment horizontal="right"/>
    </xf>
    <xf numFmtId="0" fontId="26" fillId="7" borderId="14" xfId="0" applyFont="1" applyFill="1" applyBorder="1" applyAlignment="1">
      <alignment horizontal="right"/>
    </xf>
    <xf numFmtId="10" fontId="27" fillId="7" borderId="14" xfId="0" applyNumberFormat="1" applyFont="1" applyFill="1" applyBorder="1" applyAlignment="1">
      <alignment horizontal="right"/>
    </xf>
    <xf numFmtId="0" fontId="26" fillId="8" borderId="18" xfId="0" applyFont="1" applyFill="1" applyBorder="1" applyAlignment="1">
      <alignment horizontal="right"/>
    </xf>
    <xf numFmtId="0" fontId="26" fillId="8" borderId="18" xfId="0" applyFont="1" applyFill="1" applyBorder="1" applyAlignment="1">
      <alignment horizontal="right" vertical="center" wrapText="1"/>
    </xf>
    <xf numFmtId="0" fontId="26" fillId="0" borderId="4" xfId="0" applyFont="1" applyBorder="1" applyAlignment="1">
      <alignment horizontal="center"/>
    </xf>
    <xf numFmtId="183" fontId="26" fillId="0" borderId="3" xfId="0" applyNumberFormat="1" applyFont="1" applyBorder="1" applyAlignment="1">
      <alignment horizontal="center"/>
    </xf>
    <xf numFmtId="183" fontId="26" fillId="7" borderId="14" xfId="0" applyNumberFormat="1" applyFont="1" applyFill="1" applyBorder="1" applyAlignment="1">
      <alignment horizontal="right"/>
    </xf>
    <xf numFmtId="0" fontId="8" fillId="3" borderId="3" xfId="0" applyFont="1" applyFill="1" applyBorder="1"/>
    <xf numFmtId="0" fontId="28" fillId="0" borderId="0" xfId="0" applyFont="1"/>
    <xf numFmtId="0" fontId="29" fillId="0" borderId="0" xfId="0" applyFont="1"/>
    <xf numFmtId="0" fontId="8" fillId="5" borderId="3" xfId="0" applyFont="1" applyFill="1" applyBorder="1"/>
    <xf numFmtId="0" fontId="29" fillId="0" borderId="3" xfId="0" applyFont="1" applyBorder="1"/>
    <xf numFmtId="0" fontId="29" fillId="0" borderId="1" xfId="0" applyFont="1" applyBorder="1"/>
    <xf numFmtId="0" fontId="11" fillId="0" borderId="1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9" fillId="3" borderId="3" xfId="0" applyFont="1" applyFill="1" applyBorder="1"/>
    <xf numFmtId="0" fontId="9" fillId="0" borderId="3" xfId="0" applyFont="1" applyBorder="1" applyAlignment="1">
      <alignment horizontal="right"/>
    </xf>
    <xf numFmtId="181" fontId="10" fillId="0" borderId="5" xfId="0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3" fontId="10" fillId="8" borderId="3" xfId="0" applyNumberFormat="1" applyFont="1" applyFill="1" applyBorder="1" applyAlignment="1">
      <alignment horizontal="center"/>
    </xf>
    <xf numFmtId="10" fontId="6" fillId="0" borderId="5" xfId="0" applyNumberFormat="1" applyFont="1" applyBorder="1" applyAlignment="1">
      <alignment horizontal="center"/>
    </xf>
    <xf numFmtId="10" fontId="11" fillId="0" borderId="4" xfId="0" applyNumberFormat="1" applyFont="1" applyBorder="1" applyAlignment="1">
      <alignment horizontal="center"/>
    </xf>
    <xf numFmtId="3" fontId="10" fillId="0" borderId="5" xfId="0" applyNumberFormat="1" applyFont="1" applyBorder="1" applyAlignment="1">
      <alignment horizontal="right"/>
    </xf>
    <xf numFmtId="10" fontId="31" fillId="0" borderId="3" xfId="0" applyNumberFormat="1" applyFont="1" applyBorder="1" applyAlignment="1">
      <alignment horizontal="right"/>
    </xf>
    <xf numFmtId="3" fontId="10" fillId="0" borderId="3" xfId="0" applyNumberFormat="1" applyFont="1" applyBorder="1" applyAlignment="1">
      <alignment horizontal="right"/>
    </xf>
    <xf numFmtId="3" fontId="9" fillId="0" borderId="4" xfId="0" applyNumberFormat="1" applyFont="1" applyBorder="1" applyAlignment="1">
      <alignment horizontal="right"/>
    </xf>
    <xf numFmtId="10" fontId="9" fillId="0" borderId="3" xfId="0" applyNumberFormat="1" applyFont="1" applyBorder="1" applyAlignment="1">
      <alignment horizontal="right"/>
    </xf>
    <xf numFmtId="10" fontId="31" fillId="0" borderId="7" xfId="0" applyNumberFormat="1" applyFont="1" applyBorder="1" applyAlignment="1">
      <alignment horizontal="right"/>
    </xf>
    <xf numFmtId="3" fontId="11" fillId="0" borderId="3" xfId="0" applyNumberFormat="1" applyFont="1" applyBorder="1" applyAlignment="1">
      <alignment horizontal="right"/>
    </xf>
    <xf numFmtId="10" fontId="11" fillId="0" borderId="4" xfId="0" applyNumberFormat="1" applyFont="1" applyBorder="1" applyAlignment="1">
      <alignment horizontal="right"/>
    </xf>
    <xf numFmtId="4" fontId="9" fillId="0" borderId="3" xfId="0" applyNumberFormat="1" applyFont="1" applyBorder="1" applyAlignment="1">
      <alignment horizontal="center"/>
    </xf>
    <xf numFmtId="10" fontId="9" fillId="0" borderId="5" xfId="0" applyNumberFormat="1" applyFont="1" applyBorder="1" applyAlignment="1">
      <alignment horizontal="right"/>
    </xf>
    <xf numFmtId="0" fontId="25" fillId="0" borderId="8" xfId="0" applyFont="1" applyBorder="1"/>
    <xf numFmtId="0" fontId="6" fillId="0" borderId="8" xfId="0" applyFont="1" applyBorder="1"/>
    <xf numFmtId="180" fontId="6" fillId="0" borderId="0" xfId="0" applyNumberFormat="1" applyFont="1" applyAlignment="1">
      <alignment horizontal="right"/>
    </xf>
    <xf numFmtId="179" fontId="9" fillId="0" borderId="3" xfId="0" applyNumberFormat="1" applyFont="1" applyBorder="1" applyAlignment="1">
      <alignment horizontal="right"/>
    </xf>
    <xf numFmtId="10" fontId="6" fillId="0" borderId="8" xfId="0" applyNumberFormat="1" applyFont="1" applyBorder="1"/>
    <xf numFmtId="10" fontId="6" fillId="0" borderId="0" xfId="0" applyNumberFormat="1" applyFont="1" applyAlignment="1">
      <alignment horizontal="right"/>
    </xf>
    <xf numFmtId="0" fontId="6" fillId="5" borderId="0" xfId="0" applyFont="1" applyFill="1"/>
    <xf numFmtId="0" fontId="7" fillId="0" borderId="1" xfId="0" applyFont="1" applyBorder="1" applyAlignment="1">
      <alignment horizontal="left"/>
    </xf>
    <xf numFmtId="0" fontId="7" fillId="0" borderId="3" xfId="0" applyFont="1" applyBorder="1"/>
    <xf numFmtId="0" fontId="16" fillId="0" borderId="4" xfId="0" applyFont="1" applyBorder="1"/>
    <xf numFmtId="3" fontId="10" fillId="0" borderId="5" xfId="0" applyNumberFormat="1" applyFont="1" applyBorder="1"/>
    <xf numFmtId="0" fontId="12" fillId="0" borderId="5" xfId="0" applyFont="1" applyBorder="1"/>
    <xf numFmtId="0" fontId="16" fillId="0" borderId="0" xfId="0" applyFont="1" applyAlignment="1">
      <alignment horizontal="center"/>
    </xf>
    <xf numFmtId="3" fontId="11" fillId="0" borderId="5" xfId="0" applyNumberFormat="1" applyFont="1" applyBorder="1" applyAlignment="1">
      <alignment horizontal="center"/>
    </xf>
    <xf numFmtId="4" fontId="6" fillId="0" borderId="3" xfId="0" applyNumberFormat="1" applyFont="1" applyBorder="1"/>
    <xf numFmtId="0" fontId="16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180" fontId="31" fillId="2" borderId="3" xfId="0" applyNumberFormat="1" applyFont="1" applyFill="1" applyBorder="1" applyAlignment="1">
      <alignment horizontal="right"/>
    </xf>
    <xf numFmtId="3" fontId="9" fillId="0" borderId="7" xfId="0" applyNumberFormat="1" applyFont="1" applyBorder="1"/>
    <xf numFmtId="10" fontId="9" fillId="0" borderId="3" xfId="0" applyNumberFormat="1" applyFont="1" applyBorder="1" applyAlignment="1">
      <alignment horizontal="center"/>
    </xf>
    <xf numFmtId="4" fontId="9" fillId="2" borderId="3" xfId="0" applyNumberFormat="1" applyFont="1" applyFill="1" applyBorder="1"/>
    <xf numFmtId="0" fontId="10" fillId="0" borderId="3" xfId="0" applyFont="1" applyBorder="1"/>
    <xf numFmtId="0" fontId="7" fillId="0" borderId="4" xfId="0" applyFont="1" applyBorder="1" applyAlignment="1">
      <alignment horizontal="left"/>
    </xf>
    <xf numFmtId="181" fontId="10" fillId="0" borderId="4" xfId="0" applyNumberFormat="1" applyFont="1" applyBorder="1" applyAlignment="1">
      <alignment horizontal="center"/>
    </xf>
    <xf numFmtId="3" fontId="10" fillId="0" borderId="3" xfId="0" applyNumberFormat="1" applyFont="1" applyBorder="1"/>
    <xf numFmtId="3" fontId="9" fillId="0" borderId="3" xfId="0" applyNumberFormat="1" applyFont="1" applyBorder="1" applyAlignment="1">
      <alignment horizontal="center"/>
    </xf>
    <xf numFmtId="10" fontId="10" fillId="0" borderId="0" xfId="0" applyNumberFormat="1" applyFont="1" applyAlignment="1">
      <alignment horizontal="left"/>
    </xf>
    <xf numFmtId="3" fontId="10" fillId="0" borderId="4" xfId="0" applyNumberFormat="1" applyFont="1" applyBorder="1"/>
    <xf numFmtId="3" fontId="10" fillId="0" borderId="0" xfId="0" applyNumberFormat="1" applyFont="1" applyAlignment="1">
      <alignment horizontal="left"/>
    </xf>
    <xf numFmtId="3" fontId="6" fillId="0" borderId="0" xfId="0" applyNumberFormat="1" applyFont="1"/>
    <xf numFmtId="0" fontId="13" fillId="0" borderId="3" xfId="0" applyFont="1" applyBorder="1"/>
    <xf numFmtId="3" fontId="11" fillId="0" borderId="3" xfId="0" applyNumberFormat="1" applyFont="1" applyBorder="1"/>
    <xf numFmtId="0" fontId="31" fillId="0" borderId="3" xfId="0" applyFont="1" applyBorder="1"/>
    <xf numFmtId="3" fontId="9" fillId="0" borderId="3" xfId="0" applyNumberFormat="1" applyFont="1" applyBorder="1"/>
    <xf numFmtId="10" fontId="31" fillId="0" borderId="3" xfId="0" applyNumberFormat="1" applyFont="1" applyBorder="1" applyAlignment="1">
      <alignment horizontal="center"/>
    </xf>
    <xf numFmtId="10" fontId="6" fillId="0" borderId="3" xfId="0" applyNumberFormat="1" applyFont="1" applyBorder="1" applyAlignment="1">
      <alignment horizontal="left"/>
    </xf>
    <xf numFmtId="0" fontId="32" fillId="0" borderId="3" xfId="0" applyFont="1" applyBorder="1"/>
    <xf numFmtId="0" fontId="9" fillId="0" borderId="5" xfId="0" applyFont="1" applyBorder="1"/>
    <xf numFmtId="3" fontId="9" fillId="0" borderId="5" xfId="0" applyNumberFormat="1" applyFont="1" applyBorder="1"/>
    <xf numFmtId="10" fontId="9" fillId="0" borderId="5" xfId="0" applyNumberFormat="1" applyFont="1" applyBorder="1" applyAlignment="1">
      <alignment horizontal="center"/>
    </xf>
    <xf numFmtId="3" fontId="9" fillId="0" borderId="5" xfId="0" applyNumberFormat="1" applyFont="1" applyBorder="1" applyAlignment="1">
      <alignment horizontal="center"/>
    </xf>
    <xf numFmtId="0" fontId="13" fillId="0" borderId="0" xfId="0" applyFont="1"/>
    <xf numFmtId="10" fontId="6" fillId="0" borderId="3" xfId="0" applyNumberFormat="1" applyFont="1" applyBorder="1"/>
    <xf numFmtId="3" fontId="9" fillId="0" borderId="9" xfId="0" applyNumberFormat="1" applyFont="1" applyBorder="1"/>
    <xf numFmtId="10" fontId="9" fillId="0" borderId="9" xfId="0" applyNumberFormat="1" applyFont="1" applyBorder="1" applyAlignment="1">
      <alignment horizontal="center"/>
    </xf>
    <xf numFmtId="3" fontId="9" fillId="0" borderId="9" xfId="0" applyNumberFormat="1" applyFont="1" applyBorder="1" applyAlignment="1">
      <alignment horizontal="center"/>
    </xf>
    <xf numFmtId="3" fontId="11" fillId="0" borderId="9" xfId="0" applyNumberFormat="1" applyFont="1" applyBorder="1"/>
    <xf numFmtId="0" fontId="16" fillId="0" borderId="3" xfId="0" applyFont="1" applyBorder="1" applyAlignment="1">
      <alignment horizontal="left"/>
    </xf>
    <xf numFmtId="3" fontId="11" fillId="0" borderId="3" xfId="0" applyNumberFormat="1" applyFont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9" fillId="0" borderId="3" xfId="0" applyFont="1" applyBorder="1" applyAlignment="1">
      <alignment horizontal="left"/>
    </xf>
    <xf numFmtId="3" fontId="6" fillId="0" borderId="3" xfId="0" applyNumberFormat="1" applyFont="1" applyBorder="1"/>
    <xf numFmtId="4" fontId="6" fillId="0" borderId="0" xfId="0" applyNumberFormat="1" applyFont="1"/>
    <xf numFmtId="3" fontId="6" fillId="0" borderId="4" xfId="0" applyNumberFormat="1" applyFont="1" applyBorder="1"/>
    <xf numFmtId="10" fontId="6" fillId="0" borderId="4" xfId="0" applyNumberFormat="1" applyFont="1" applyBorder="1" applyAlignment="1">
      <alignment horizontal="center"/>
    </xf>
    <xf numFmtId="3" fontId="9" fillId="0" borderId="4" xfId="0" applyNumberFormat="1" applyFont="1" applyBorder="1"/>
    <xf numFmtId="4" fontId="9" fillId="0" borderId="3" xfId="0" applyNumberFormat="1" applyFont="1" applyBorder="1"/>
    <xf numFmtId="0" fontId="9" fillId="0" borderId="7" xfId="0" quotePrefix="1" applyFont="1" applyBorder="1"/>
    <xf numFmtId="0" fontId="6" fillId="10" borderId="7" xfId="0" applyFont="1" applyFill="1" applyBorder="1" applyAlignment="1">
      <alignment horizontal="right"/>
    </xf>
    <xf numFmtId="3" fontId="6" fillId="0" borderId="7" xfId="0" applyNumberFormat="1" applyFont="1" applyBorder="1"/>
    <xf numFmtId="10" fontId="25" fillId="0" borderId="3" xfId="0" applyNumberFormat="1" applyFont="1" applyBorder="1" applyAlignment="1">
      <alignment horizontal="right"/>
    </xf>
    <xf numFmtId="10" fontId="25" fillId="10" borderId="4" xfId="0" applyNumberFormat="1" applyFont="1" applyFill="1" applyBorder="1" applyAlignment="1">
      <alignment horizontal="right"/>
    </xf>
    <xf numFmtId="3" fontId="11" fillId="0" borderId="12" xfId="0" applyNumberFormat="1" applyFont="1" applyBorder="1" applyAlignment="1">
      <alignment horizontal="right"/>
    </xf>
    <xf numFmtId="3" fontId="11" fillId="0" borderId="11" xfId="0" applyNumberFormat="1" applyFont="1" applyBorder="1" applyAlignment="1">
      <alignment horizontal="right"/>
    </xf>
    <xf numFmtId="0" fontId="9" fillId="11" borderId="4" xfId="0" applyFont="1" applyFill="1" applyBorder="1"/>
    <xf numFmtId="3" fontId="9" fillId="11" borderId="4" xfId="0" applyNumberFormat="1" applyFont="1" applyFill="1" applyBorder="1" applyAlignment="1">
      <alignment horizontal="right"/>
    </xf>
    <xf numFmtId="10" fontId="25" fillId="11" borderId="4" xfId="0" applyNumberFormat="1" applyFont="1" applyFill="1" applyBorder="1" applyAlignment="1">
      <alignment horizontal="right"/>
    </xf>
    <xf numFmtId="3" fontId="11" fillId="11" borderId="12" xfId="0" applyNumberFormat="1" applyFont="1" applyFill="1" applyBorder="1" applyAlignment="1">
      <alignment horizontal="right"/>
    </xf>
    <xf numFmtId="0" fontId="6" fillId="11" borderId="0" xfId="0" applyFont="1" applyFill="1"/>
    <xf numFmtId="0" fontId="33" fillId="0" borderId="0" xfId="2" applyFont="1"/>
    <xf numFmtId="0" fontId="6" fillId="0" borderId="7" xfId="0" quotePrefix="1" applyFont="1" applyBorder="1"/>
    <xf numFmtId="3" fontId="9" fillId="0" borderId="7" xfId="0" applyNumberFormat="1" applyFont="1" applyBorder="1" applyAlignment="1">
      <alignment horizontal="right"/>
    </xf>
    <xf numFmtId="10" fontId="25" fillId="0" borderId="7" xfId="0" applyNumberFormat="1" applyFont="1" applyBorder="1" applyAlignment="1">
      <alignment horizontal="right"/>
    </xf>
    <xf numFmtId="3" fontId="9" fillId="0" borderId="13" xfId="0" applyNumberFormat="1" applyFont="1" applyBorder="1" applyAlignment="1">
      <alignment horizontal="right"/>
    </xf>
    <xf numFmtId="0" fontId="6" fillId="10" borderId="0" xfId="0" applyFont="1" applyFill="1" applyAlignment="1">
      <alignment horizontal="right"/>
    </xf>
    <xf numFmtId="3" fontId="10" fillId="10" borderId="11" xfId="0" applyNumberFormat="1" applyFont="1" applyFill="1" applyBorder="1" applyAlignment="1">
      <alignment horizontal="right"/>
    </xf>
    <xf numFmtId="10" fontId="30" fillId="0" borderId="3" xfId="0" applyNumberFormat="1" applyFont="1" applyBorder="1" applyAlignment="1">
      <alignment horizontal="right"/>
    </xf>
    <xf numFmtId="0" fontId="6" fillId="11" borderId="4" xfId="0" applyFont="1" applyFill="1" applyBorder="1"/>
    <xf numFmtId="3" fontId="9" fillId="11" borderId="12" xfId="0" applyNumberFormat="1" applyFont="1" applyFill="1" applyBorder="1" applyAlignment="1">
      <alignment horizontal="right"/>
    </xf>
    <xf numFmtId="185" fontId="11" fillId="0" borderId="3" xfId="0" applyNumberFormat="1" applyFont="1" applyBorder="1" applyAlignment="1">
      <alignment horizontal="right"/>
    </xf>
    <xf numFmtId="185" fontId="9" fillId="0" borderId="11" xfId="0" applyNumberFormat="1" applyFont="1" applyBorder="1" applyAlignment="1">
      <alignment horizontal="right"/>
    </xf>
    <xf numFmtId="10" fontId="25" fillId="12" borderId="3" xfId="0" applyNumberFormat="1" applyFont="1" applyFill="1" applyBorder="1" applyAlignment="1">
      <alignment horizontal="right"/>
    </xf>
    <xf numFmtId="10" fontId="25" fillId="12" borderId="11" xfId="0" applyNumberFormat="1" applyFont="1" applyFill="1" applyBorder="1" applyAlignment="1">
      <alignment horizontal="right"/>
    </xf>
    <xf numFmtId="185" fontId="10" fillId="0" borderId="4" xfId="0" applyNumberFormat="1" applyFont="1" applyBorder="1" applyAlignment="1">
      <alignment horizontal="right"/>
    </xf>
    <xf numFmtId="10" fontId="25" fillId="0" borderId="4" xfId="0" applyNumberFormat="1" applyFont="1" applyBorder="1" applyAlignment="1">
      <alignment horizontal="right"/>
    </xf>
    <xf numFmtId="10" fontId="6" fillId="0" borderId="0" xfId="0" applyNumberFormat="1" applyFont="1" applyAlignment="1">
      <alignment horizontal="center"/>
    </xf>
    <xf numFmtId="8" fontId="6" fillId="0" borderId="0" xfId="0" applyNumberFormat="1" applyFont="1" applyAlignment="1">
      <alignment horizontal="center"/>
    </xf>
    <xf numFmtId="10" fontId="11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0" fontId="16" fillId="9" borderId="4" xfId="0" quotePrefix="1" applyFont="1" applyFill="1" applyBorder="1" applyAlignment="1">
      <alignment horizontal="center"/>
    </xf>
    <xf numFmtId="0" fontId="14" fillId="0" borderId="0" xfId="0" quotePrefix="1" applyFont="1" applyAlignment="1">
      <alignment horizontal="center"/>
    </xf>
    <xf numFmtId="0" fontId="14" fillId="0" borderId="3" xfId="0" quotePrefix="1" applyFont="1" applyBorder="1" applyAlignment="1">
      <alignment horizontal="center"/>
    </xf>
    <xf numFmtId="3" fontId="6" fillId="0" borderId="0" xfId="0" applyNumberFormat="1" applyFont="1" applyAlignment="1">
      <alignment horizontal="center"/>
    </xf>
    <xf numFmtId="9" fontId="25" fillId="10" borderId="3" xfId="0" applyNumberFormat="1" applyFont="1" applyFill="1" applyBorder="1" applyAlignment="1">
      <alignment horizontal="center"/>
    </xf>
    <xf numFmtId="184" fontId="6" fillId="0" borderId="3" xfId="0" applyNumberFormat="1" applyFont="1" applyBorder="1" applyAlignment="1">
      <alignment horizontal="center"/>
    </xf>
    <xf numFmtId="0" fontId="6" fillId="10" borderId="0" xfId="0" applyFont="1" applyFill="1"/>
    <xf numFmtId="3" fontId="6" fillId="0" borderId="7" xfId="0" applyNumberFormat="1" applyFont="1" applyBorder="1" applyAlignment="1">
      <alignment horizontal="center"/>
    </xf>
    <xf numFmtId="9" fontId="25" fillId="10" borderId="7" xfId="0" applyNumberFormat="1" applyFont="1" applyFill="1" applyBorder="1" applyAlignment="1">
      <alignment horizontal="center"/>
    </xf>
    <xf numFmtId="184" fontId="6" fillId="0" borderId="7" xfId="0" applyNumberFormat="1" applyFont="1" applyBorder="1" applyAlignment="1">
      <alignment horizontal="center"/>
    </xf>
    <xf numFmtId="0" fontId="6" fillId="10" borderId="7" xfId="0" applyFont="1" applyFill="1" applyBorder="1"/>
    <xf numFmtId="184" fontId="6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86" fontId="26" fillId="0" borderId="0" xfId="0" applyNumberFormat="1" applyFont="1" applyAlignment="1">
      <alignment horizontal="right"/>
    </xf>
    <xf numFmtId="187" fontId="26" fillId="0" borderId="0" xfId="0" applyNumberFormat="1" applyFont="1" applyAlignment="1">
      <alignment horizontal="right"/>
    </xf>
    <xf numFmtId="185" fontId="26" fillId="0" borderId="12" xfId="0" applyNumberFormat="1" applyFont="1" applyBorder="1" applyAlignment="1">
      <alignment horizontal="right"/>
    </xf>
    <xf numFmtId="3" fontId="26" fillId="0" borderId="11" xfId="0" applyNumberFormat="1" applyFont="1" applyBorder="1" applyAlignment="1">
      <alignment horizontal="right"/>
    </xf>
    <xf numFmtId="10" fontId="27" fillId="0" borderId="3" xfId="0" applyNumberFormat="1" applyFont="1" applyBorder="1" applyAlignment="1">
      <alignment horizontal="right"/>
    </xf>
    <xf numFmtId="10" fontId="26" fillId="0" borderId="3" xfId="0" applyNumberFormat="1" applyFont="1" applyBorder="1" applyAlignment="1">
      <alignment horizontal="center"/>
    </xf>
    <xf numFmtId="3" fontId="26" fillId="0" borderId="3" xfId="0" applyNumberFormat="1" applyFont="1" applyBorder="1" applyAlignment="1">
      <alignment horizontal="center"/>
    </xf>
    <xf numFmtId="0" fontId="26" fillId="0" borderId="3" xfId="0" applyFont="1" applyBorder="1" applyAlignment="1">
      <alignment horizontal="left"/>
    </xf>
    <xf numFmtId="0" fontId="26" fillId="7" borderId="3" xfId="0" applyFont="1" applyFill="1" applyBorder="1" applyAlignment="1">
      <alignment horizontal="left"/>
    </xf>
    <xf numFmtId="0" fontId="26" fillId="0" borderId="19" xfId="0" applyFont="1" applyBorder="1" applyAlignment="1">
      <alignment horizontal="left"/>
    </xf>
    <xf numFmtId="0" fontId="11" fillId="0" borderId="3" xfId="0" applyFont="1" applyBorder="1" applyAlignment="1">
      <alignment horizontal="left" wrapText="1"/>
    </xf>
    <xf numFmtId="0" fontId="11" fillId="0" borderId="3" xfId="0" quotePrefix="1" applyFont="1" applyBorder="1" applyAlignment="1">
      <alignment horizontal="left" wrapText="1"/>
    </xf>
    <xf numFmtId="0" fontId="17" fillId="0" borderId="4" xfId="0" applyFont="1" applyBorder="1" applyAlignment="1">
      <alignment horizontal="left" wrapText="1"/>
    </xf>
    <xf numFmtId="0" fontId="11" fillId="0" borderId="0" xfId="0" quotePrefix="1" applyFont="1" applyAlignment="1">
      <alignment horizontal="left"/>
    </xf>
    <xf numFmtId="0" fontId="11" fillId="0" borderId="4" xfId="0" applyFont="1" applyBorder="1" applyAlignment="1">
      <alignment horizontal="left" wrapText="1"/>
    </xf>
    <xf numFmtId="0" fontId="17" fillId="0" borderId="3" xfId="0" applyFont="1" applyBorder="1" applyAlignment="1">
      <alignment horizontal="left" wrapText="1"/>
    </xf>
    <xf numFmtId="0" fontId="11" fillId="0" borderId="5" xfId="0" applyFont="1" applyBorder="1" applyAlignment="1">
      <alignment horizontal="left" wrapText="1"/>
    </xf>
    <xf numFmtId="0" fontId="17" fillId="0" borderId="8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7" fillId="0" borderId="4" xfId="0" applyFont="1" applyBorder="1" applyAlignment="1">
      <alignment horizontal="left" wrapText="1" indent="1"/>
    </xf>
    <xf numFmtId="3" fontId="17" fillId="0" borderId="4" xfId="0" applyNumberFormat="1" applyFont="1" applyBorder="1" applyAlignment="1">
      <alignment horizontal="right"/>
    </xf>
    <xf numFmtId="0" fontId="17" fillId="0" borderId="0" xfId="0" applyFont="1" applyAlignment="1">
      <alignment horizontal="left" indent="1"/>
    </xf>
    <xf numFmtId="3" fontId="16" fillId="0" borderId="0" xfId="0" applyNumberFormat="1" applyFont="1" applyAlignment="1">
      <alignment horizontal="right"/>
    </xf>
    <xf numFmtId="3" fontId="8" fillId="0" borderId="3" xfId="0" applyNumberFormat="1" applyFont="1" applyBorder="1" applyAlignment="1">
      <alignment horizontal="right"/>
    </xf>
    <xf numFmtId="3" fontId="8" fillId="0" borderId="4" xfId="0" applyNumberFormat="1" applyFont="1" applyBorder="1" applyAlignment="1">
      <alignment horizontal="right"/>
    </xf>
    <xf numFmtId="0" fontId="30" fillId="0" borderId="0" xfId="0" applyFont="1" applyAlignment="1">
      <alignment horizontal="left" indent="2"/>
    </xf>
    <xf numFmtId="0" fontId="30" fillId="0" borderId="7" xfId="0" applyFont="1" applyBorder="1" applyAlignment="1">
      <alignment horizontal="left" wrapText="1" indent="2"/>
    </xf>
    <xf numFmtId="0" fontId="30" fillId="0" borderId="3" xfId="0" applyFont="1" applyBorder="1" applyAlignment="1">
      <alignment horizontal="left" wrapText="1" indent="2"/>
    </xf>
    <xf numFmtId="0" fontId="30" fillId="0" borderId="3" xfId="0" quotePrefix="1" applyFont="1" applyBorder="1" applyAlignment="1">
      <alignment horizontal="left" wrapText="1" indent="2"/>
    </xf>
    <xf numFmtId="0" fontId="17" fillId="0" borderId="3" xfId="0" applyFont="1" applyBorder="1" applyAlignment="1">
      <alignment horizontal="left" wrapText="1" indent="1"/>
    </xf>
    <xf numFmtId="10" fontId="8" fillId="0" borderId="3" xfId="0" applyNumberFormat="1" applyFont="1" applyBorder="1" applyAlignment="1">
      <alignment horizontal="right"/>
    </xf>
    <xf numFmtId="0" fontId="34" fillId="0" borderId="0" xfId="0" applyFont="1"/>
    <xf numFmtId="0" fontId="35" fillId="0" borderId="0" xfId="0" applyFont="1"/>
    <xf numFmtId="190" fontId="36" fillId="0" borderId="0" xfId="0" applyNumberFormat="1" applyFont="1" applyAlignment="1">
      <alignment horizontal="left"/>
    </xf>
    <xf numFmtId="189" fontId="5" fillId="0" borderId="0" xfId="0" applyNumberFormat="1" applyFont="1" applyAlignment="1">
      <alignment horizontal="left" wrapText="1"/>
    </xf>
    <xf numFmtId="181" fontId="13" fillId="14" borderId="2" xfId="0" applyNumberFormat="1" applyFont="1" applyFill="1" applyBorder="1" applyAlignment="1">
      <alignment horizontal="center"/>
    </xf>
    <xf numFmtId="181" fontId="13" fillId="14" borderId="6" xfId="0" applyNumberFormat="1" applyFont="1" applyFill="1" applyBorder="1" applyAlignment="1">
      <alignment horizontal="center"/>
    </xf>
    <xf numFmtId="181" fontId="37" fillId="13" borderId="10" xfId="0" applyNumberFormat="1" applyFont="1" applyFill="1" applyBorder="1" applyAlignment="1">
      <alignment horizontal="center"/>
    </xf>
    <xf numFmtId="181" fontId="37" fillId="13" borderId="14" xfId="0" applyNumberFormat="1" applyFont="1" applyFill="1" applyBorder="1" applyAlignment="1">
      <alignment horizontal="center"/>
    </xf>
    <xf numFmtId="0" fontId="20" fillId="15" borderId="0" xfId="0" applyFont="1" applyFill="1" applyAlignment="1">
      <alignment vertical="top" wrapText="1"/>
    </xf>
    <xf numFmtId="0" fontId="30" fillId="12" borderId="3" xfId="0" applyFont="1" applyFill="1" applyBorder="1" applyAlignment="1">
      <alignment horizontal="left" wrapText="1" indent="2"/>
    </xf>
    <xf numFmtId="10" fontId="30" fillId="12" borderId="3" xfId="0" applyNumberFormat="1" applyFont="1" applyFill="1" applyBorder="1" applyAlignment="1">
      <alignment horizontal="right"/>
    </xf>
    <xf numFmtId="0" fontId="17" fillId="12" borderId="3" xfId="0" applyFont="1" applyFill="1" applyBorder="1" applyAlignment="1">
      <alignment horizontal="left" wrapText="1" indent="1"/>
    </xf>
    <xf numFmtId="3" fontId="17" fillId="12" borderId="3" xfId="0" applyNumberFormat="1" applyFont="1" applyFill="1" applyBorder="1" applyAlignment="1">
      <alignment horizontal="right"/>
    </xf>
    <xf numFmtId="0" fontId="30" fillId="12" borderId="4" xfId="0" quotePrefix="1" applyFont="1" applyFill="1" applyBorder="1" applyAlignment="1">
      <alignment horizontal="left" indent="2"/>
    </xf>
    <xf numFmtId="10" fontId="31" fillId="12" borderId="4" xfId="0" applyNumberFormat="1" applyFont="1" applyFill="1" applyBorder="1" applyAlignment="1">
      <alignment horizontal="right"/>
    </xf>
    <xf numFmtId="188" fontId="26" fillId="0" borderId="3" xfId="0" applyNumberFormat="1" applyFont="1" applyBorder="1" applyAlignment="1">
      <alignment horizontal="center"/>
    </xf>
    <xf numFmtId="10" fontId="11" fillId="0" borderId="3" xfId="0" applyNumberFormat="1" applyFont="1" applyBorder="1"/>
    <xf numFmtId="191" fontId="26" fillId="0" borderId="14" xfId="0" applyNumberFormat="1" applyFont="1" applyBorder="1"/>
    <xf numFmtId="0" fontId="16" fillId="6" borderId="3" xfId="0" quotePrefix="1" applyFont="1" applyFill="1" applyBorder="1"/>
    <xf numFmtId="14" fontId="16" fillId="0" borderId="3" xfId="0" applyNumberFormat="1" applyFont="1" applyBorder="1" applyAlignment="1">
      <alignment horizontal="center"/>
    </xf>
    <xf numFmtId="181" fontId="37" fillId="13" borderId="8" xfId="0" applyNumberFormat="1" applyFont="1" applyFill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5" xfId="1" applyNumberFormat="1" applyFont="1" applyBorder="1" applyAlignment="1">
      <alignment horizontal="left"/>
    </xf>
    <xf numFmtId="178" fontId="6" fillId="0" borderId="4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49" fontId="10" fillId="0" borderId="5" xfId="0" applyNumberFormat="1" applyFont="1" applyBorder="1" applyAlignment="1">
      <alignment horizontal="center"/>
    </xf>
    <xf numFmtId="0" fontId="11" fillId="0" borderId="5" xfId="0" applyFont="1" applyBorder="1"/>
    <xf numFmtId="0" fontId="10" fillId="0" borderId="4" xfId="0" applyFont="1" applyBorder="1" applyAlignment="1">
      <alignment horizontal="center"/>
    </xf>
    <xf numFmtId="0" fontId="11" fillId="0" borderId="4" xfId="0" applyFont="1" applyBorder="1"/>
    <xf numFmtId="177" fontId="10" fillId="0" borderId="3" xfId="0" applyNumberFormat="1" applyFont="1" applyBorder="1" applyAlignment="1">
      <alignment horizontal="center"/>
    </xf>
    <xf numFmtId="0" fontId="11" fillId="0" borderId="3" xfId="0" applyFont="1" applyBorder="1"/>
    <xf numFmtId="3" fontId="10" fillId="0" borderId="3" xfId="0" applyNumberFormat="1" applyFont="1" applyBorder="1" applyAlignment="1">
      <alignment horizontal="center"/>
    </xf>
    <xf numFmtId="3" fontId="9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181" fontId="37" fillId="13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2F75B5"/>
      <color rgb="FFFFFFCC"/>
      <color rgb="FFFF0000"/>
      <color rgb="FF0000FF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69" zoomScaleNormal="100" workbookViewId="0">
      <selection activeCell="E91" sqref="E91:F98"/>
    </sheetView>
  </sheetViews>
  <sheetFormatPr defaultColWidth="8.796875" defaultRowHeight="11.65" x14ac:dyDescent="0.35"/>
  <cols>
    <col min="1" max="1" width="3" style="2" customWidth="1"/>
    <col min="2" max="2" width="27.33203125" style="2" customWidth="1"/>
    <col min="3" max="13" width="24.6640625" style="2" customWidth="1"/>
    <col min="14" max="16384" width="8.796875" style="2"/>
  </cols>
  <sheetData>
    <row r="2" spans="1:5" x14ac:dyDescent="0.35">
      <c r="A2" s="4"/>
      <c r="B2" s="5" t="s">
        <v>189</v>
      </c>
    </row>
    <row r="4" spans="1:5" x14ac:dyDescent="0.35">
      <c r="B4" s="46" t="s">
        <v>169</v>
      </c>
      <c r="C4" s="66" t="s">
        <v>279</v>
      </c>
    </row>
    <row r="5" spans="1:5" x14ac:dyDescent="0.35">
      <c r="B5" s="46" t="s">
        <v>170</v>
      </c>
      <c r="C5" s="67" t="s">
        <v>280</v>
      </c>
    </row>
    <row r="6" spans="1:5" x14ac:dyDescent="0.35">
      <c r="B6" s="46" t="s">
        <v>270</v>
      </c>
      <c r="C6" s="68">
        <v>45606</v>
      </c>
    </row>
    <row r="7" spans="1:5" x14ac:dyDescent="0.35">
      <c r="B7" s="39" t="s">
        <v>3</v>
      </c>
      <c r="C7" s="130">
        <v>8</v>
      </c>
    </row>
    <row r="8" spans="1:5" x14ac:dyDescent="0.35">
      <c r="B8" s="39" t="s">
        <v>190</v>
      </c>
      <c r="C8" s="123" t="s">
        <v>281</v>
      </c>
    </row>
    <row r="9" spans="1:5" x14ac:dyDescent="0.35">
      <c r="B9" s="39" t="s">
        <v>191</v>
      </c>
      <c r="C9" s="124" t="s">
        <v>282</v>
      </c>
    </row>
    <row r="10" spans="1:5" x14ac:dyDescent="0.35">
      <c r="B10" s="39" t="s">
        <v>192</v>
      </c>
      <c r="C10" s="70">
        <v>59085551061</v>
      </c>
    </row>
    <row r="11" spans="1:5" x14ac:dyDescent="0.35">
      <c r="B11" s="39" t="s">
        <v>193</v>
      </c>
      <c r="C11" s="69" t="s">
        <v>283</v>
      </c>
    </row>
    <row r="12" spans="1:5" x14ac:dyDescent="0.35">
      <c r="B12" s="71" t="s">
        <v>9</v>
      </c>
      <c r="C12" s="72">
        <v>45291</v>
      </c>
    </row>
    <row r="13" spans="1:5" x14ac:dyDescent="0.35">
      <c r="B13" s="71" t="s">
        <v>10</v>
      </c>
      <c r="C13" s="73">
        <v>1000000</v>
      </c>
    </row>
    <row r="14" spans="1:5" x14ac:dyDescent="0.35">
      <c r="B14" s="71" t="s">
        <v>194</v>
      </c>
      <c r="C14" s="72">
        <v>45473</v>
      </c>
    </row>
    <row r="15" spans="1:5" x14ac:dyDescent="0.35">
      <c r="B15" s="71" t="s">
        <v>222</v>
      </c>
      <c r="C15" s="122" t="s">
        <v>276</v>
      </c>
    </row>
    <row r="16" spans="1:5" x14ac:dyDescent="0.35">
      <c r="B16" s="74" t="s">
        <v>88</v>
      </c>
      <c r="C16" s="125">
        <v>0.25</v>
      </c>
      <c r="D16" s="75"/>
      <c r="E16" s="25" t="s">
        <v>253</v>
      </c>
    </row>
    <row r="17" spans="2:13" x14ac:dyDescent="0.35">
      <c r="B17" s="56" t="s">
        <v>198</v>
      </c>
      <c r="C17" s="126" t="s">
        <v>284</v>
      </c>
      <c r="D17" s="75"/>
    </row>
    <row r="18" spans="2:13" x14ac:dyDescent="0.35">
      <c r="B18" s="56" t="s">
        <v>211</v>
      </c>
      <c r="C18" s="126" t="s">
        <v>285</v>
      </c>
      <c r="D18" s="75"/>
    </row>
    <row r="19" spans="2:13" x14ac:dyDescent="0.35">
      <c r="B19" s="56" t="s">
        <v>212</v>
      </c>
      <c r="C19" s="126" t="s">
        <v>285</v>
      </c>
      <c r="D19" s="75"/>
    </row>
    <row r="20" spans="2:13" x14ac:dyDescent="0.35">
      <c r="B20" s="57" t="s">
        <v>201</v>
      </c>
      <c r="C20" s="126" t="s">
        <v>285</v>
      </c>
      <c r="D20" s="75"/>
    </row>
    <row r="21" spans="2:13" x14ac:dyDescent="0.35">
      <c r="B21" s="2" t="s">
        <v>204</v>
      </c>
      <c r="C21" s="126" t="s">
        <v>284</v>
      </c>
      <c r="D21" s="75"/>
    </row>
    <row r="22" spans="2:13" ht="69.75" x14ac:dyDescent="0.35">
      <c r="B22" s="59" t="s">
        <v>203</v>
      </c>
      <c r="C22" s="127" t="s">
        <v>286</v>
      </c>
      <c r="D22" s="75"/>
    </row>
    <row r="24" spans="2:13" x14ac:dyDescent="0.35">
      <c r="B24" s="76" t="s">
        <v>123</v>
      </c>
      <c r="C24" s="294">
        <f>C12</f>
        <v>45291</v>
      </c>
      <c r="D24" s="295">
        <f>EOMONTH(EDATE(C24,-12),0)</f>
        <v>44926</v>
      </c>
      <c r="E24" s="295">
        <f t="shared" ref="E24:M24" si="0">EOMONTH(EDATE(D24,-12),0)</f>
        <v>44561</v>
      </c>
      <c r="F24" s="295">
        <f t="shared" si="0"/>
        <v>44196</v>
      </c>
      <c r="G24" s="295">
        <f t="shared" si="0"/>
        <v>43830</v>
      </c>
      <c r="H24" s="295">
        <f t="shared" si="0"/>
        <v>43465</v>
      </c>
      <c r="I24" s="295">
        <f t="shared" si="0"/>
        <v>43100</v>
      </c>
      <c r="J24" s="295">
        <f t="shared" si="0"/>
        <v>42735</v>
      </c>
      <c r="K24" s="295">
        <f t="shared" si="0"/>
        <v>42369</v>
      </c>
      <c r="L24" s="295">
        <f t="shared" si="0"/>
        <v>42004</v>
      </c>
      <c r="M24" s="295">
        <f t="shared" si="0"/>
        <v>41639</v>
      </c>
    </row>
    <row r="25" spans="2:13" x14ac:dyDescent="0.35">
      <c r="B25" s="79" t="s">
        <v>11</v>
      </c>
      <c r="C25" s="80">
        <v>277533</v>
      </c>
      <c r="D25" s="80">
        <v>271386</v>
      </c>
      <c r="E25" s="80"/>
      <c r="F25" s="80"/>
      <c r="G25" s="80"/>
      <c r="H25" s="80"/>
      <c r="I25" s="80"/>
      <c r="J25" s="80"/>
      <c r="K25" s="80"/>
      <c r="L25" s="80"/>
      <c r="M25" s="80"/>
    </row>
    <row r="26" spans="2:13" x14ac:dyDescent="0.35">
      <c r="B26" s="81" t="s">
        <v>97</v>
      </c>
      <c r="C26" s="82">
        <v>55101</v>
      </c>
      <c r="D26" s="82">
        <v>53933</v>
      </c>
      <c r="E26" s="82"/>
      <c r="F26" s="82"/>
      <c r="G26" s="82"/>
      <c r="H26" s="82"/>
      <c r="I26" s="82"/>
      <c r="J26" s="82"/>
      <c r="K26" s="82"/>
      <c r="L26" s="82"/>
      <c r="M26" s="82"/>
    </row>
    <row r="27" spans="2:13" x14ac:dyDescent="0.35">
      <c r="B27" s="81" t="s">
        <v>95</v>
      </c>
      <c r="C27" s="82">
        <v>43909</v>
      </c>
      <c r="D27" s="82">
        <v>45277</v>
      </c>
      <c r="E27" s="82"/>
      <c r="F27" s="82"/>
      <c r="G27" s="82"/>
      <c r="H27" s="82"/>
      <c r="I27" s="82"/>
      <c r="J27" s="82"/>
      <c r="K27" s="82"/>
      <c r="L27" s="82"/>
      <c r="M27" s="82"/>
    </row>
    <row r="28" spans="2:13" x14ac:dyDescent="0.35">
      <c r="B28" s="81" t="s">
        <v>98</v>
      </c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</row>
    <row r="29" spans="2:13" x14ac:dyDescent="0.35">
      <c r="B29" s="81" t="s">
        <v>223</v>
      </c>
      <c r="C29" s="82">
        <v>143329</v>
      </c>
      <c r="D29" s="82">
        <v>127654</v>
      </c>
      <c r="E29" s="82"/>
      <c r="F29" s="82"/>
      <c r="G29" s="82"/>
      <c r="H29" s="82"/>
      <c r="I29" s="82"/>
      <c r="J29" s="82"/>
      <c r="K29" s="82"/>
      <c r="L29" s="82"/>
      <c r="M29" s="82"/>
    </row>
    <row r="30" spans="2:13" x14ac:dyDescent="0.35">
      <c r="B30" s="83" t="s">
        <v>102</v>
      </c>
      <c r="C30" s="82">
        <v>284</v>
      </c>
      <c r="D30" s="82">
        <v>233</v>
      </c>
      <c r="E30" s="82"/>
      <c r="F30" s="82"/>
      <c r="G30" s="82"/>
      <c r="H30" s="82"/>
      <c r="I30" s="82"/>
      <c r="J30" s="82"/>
      <c r="K30" s="82"/>
      <c r="L30" s="82"/>
      <c r="M30" s="82"/>
    </row>
    <row r="31" spans="2:13" x14ac:dyDescent="0.35">
      <c r="B31" s="81" t="s">
        <v>101</v>
      </c>
      <c r="C31" s="82"/>
      <c r="D31" s="82"/>
      <c r="E31" s="82"/>
      <c r="F31" s="82"/>
      <c r="G31" s="82"/>
      <c r="H31" s="82"/>
      <c r="I31" s="82"/>
      <c r="J31" s="82"/>
      <c r="K31" s="82"/>
      <c r="L31" s="82"/>
      <c r="M31" s="82"/>
    </row>
    <row r="32" spans="2:13" x14ac:dyDescent="0.35">
      <c r="B32" s="81" t="s">
        <v>96</v>
      </c>
      <c r="C32" s="82"/>
      <c r="D32" s="82"/>
      <c r="E32" s="82"/>
      <c r="F32" s="82"/>
      <c r="G32" s="82"/>
      <c r="H32" s="82"/>
      <c r="I32" s="82"/>
      <c r="J32" s="82"/>
      <c r="K32" s="82"/>
      <c r="L32" s="82"/>
      <c r="M32" s="82"/>
    </row>
    <row r="33" spans="2:13" x14ac:dyDescent="0.35">
      <c r="B33" s="81" t="s">
        <v>99</v>
      </c>
      <c r="C33" s="82"/>
      <c r="D33" s="82"/>
      <c r="E33" s="82"/>
      <c r="F33" s="82"/>
      <c r="G33" s="82"/>
      <c r="H33" s="82"/>
      <c r="I33" s="82"/>
      <c r="J33" s="82"/>
      <c r="K33" s="82"/>
      <c r="L33" s="82"/>
      <c r="M33" s="82"/>
    </row>
    <row r="34" spans="2:13" hidden="1" x14ac:dyDescent="0.35">
      <c r="B34" s="81" t="s">
        <v>245</v>
      </c>
      <c r="C34" s="84"/>
      <c r="D34" s="82"/>
      <c r="E34" s="82"/>
      <c r="F34" s="82"/>
      <c r="G34" s="82"/>
      <c r="H34" s="82"/>
      <c r="I34" s="82"/>
      <c r="J34" s="82"/>
      <c r="K34" s="82"/>
      <c r="L34" s="82"/>
      <c r="M34" s="82"/>
    </row>
    <row r="35" spans="2:13" x14ac:dyDescent="0.35">
      <c r="B35" s="79" t="s">
        <v>107</v>
      </c>
      <c r="C35" s="84"/>
      <c r="D35" s="82"/>
      <c r="E35" s="82"/>
      <c r="F35" s="82"/>
      <c r="G35" s="82"/>
      <c r="H35" s="82"/>
      <c r="I35" s="82"/>
      <c r="J35" s="82"/>
      <c r="K35" s="82"/>
      <c r="L35" s="82"/>
      <c r="M35" s="82"/>
    </row>
    <row r="36" spans="2:13" x14ac:dyDescent="0.35">
      <c r="B36" s="79" t="s">
        <v>136</v>
      </c>
      <c r="C36" s="84"/>
      <c r="D36" s="82"/>
      <c r="E36" s="82"/>
      <c r="F36" s="82"/>
      <c r="G36" s="82"/>
      <c r="H36" s="82"/>
      <c r="I36" s="82"/>
      <c r="J36" s="82"/>
      <c r="K36" s="82"/>
      <c r="L36" s="82"/>
      <c r="M36" s="82"/>
    </row>
    <row r="37" spans="2:13" x14ac:dyDescent="0.35">
      <c r="B37" s="79" t="s">
        <v>244</v>
      </c>
      <c r="C37" s="82">
        <v>6225829</v>
      </c>
      <c r="D37" s="82">
        <v>5790497</v>
      </c>
      <c r="E37" s="82" t="s">
        <v>287</v>
      </c>
      <c r="F37" s="82">
        <v>4913123</v>
      </c>
      <c r="G37" s="82"/>
      <c r="H37" s="82"/>
      <c r="I37" s="82"/>
      <c r="J37" s="82"/>
      <c r="K37" s="82"/>
      <c r="L37" s="82"/>
      <c r="M37" s="82"/>
    </row>
    <row r="38" spans="2:13" x14ac:dyDescent="0.35">
      <c r="B38" s="79" t="s">
        <v>250</v>
      </c>
      <c r="C38" s="82"/>
      <c r="D38" s="82">
        <v>1394922</v>
      </c>
      <c r="E38" s="82">
        <v>1382175</v>
      </c>
      <c r="F38" s="82">
        <v>1490133</v>
      </c>
      <c r="G38" s="82"/>
      <c r="H38" s="82"/>
      <c r="I38" s="82"/>
      <c r="J38" s="82"/>
      <c r="K38" s="82"/>
      <c r="L38" s="82"/>
      <c r="M38" s="82"/>
    </row>
    <row r="39" spans="2:13" x14ac:dyDescent="0.35">
      <c r="B39" s="79" t="s">
        <v>16</v>
      </c>
      <c r="C39" s="84"/>
      <c r="D39" s="82"/>
      <c r="E39" s="82"/>
      <c r="F39" s="82"/>
      <c r="G39" s="82"/>
      <c r="H39" s="82"/>
      <c r="I39" s="82"/>
      <c r="J39" s="82"/>
      <c r="K39" s="82"/>
      <c r="L39" s="82"/>
      <c r="M39" s="82"/>
    </row>
    <row r="40" spans="2:13" x14ac:dyDescent="0.35">
      <c r="B40" s="79" t="s">
        <v>17</v>
      </c>
      <c r="C40" s="84"/>
      <c r="D40" s="82"/>
      <c r="E40" s="82"/>
      <c r="F40" s="82"/>
      <c r="G40" s="82"/>
      <c r="H40" s="82"/>
      <c r="I40" s="82"/>
      <c r="J40" s="82"/>
      <c r="K40" s="82"/>
      <c r="L40" s="82"/>
      <c r="M40" s="82"/>
    </row>
    <row r="41" spans="2:13" x14ac:dyDescent="0.35">
      <c r="B41" s="79" t="s">
        <v>127</v>
      </c>
      <c r="C41" s="82">
        <v>570865</v>
      </c>
      <c r="D41" s="82">
        <v>510013</v>
      </c>
      <c r="E41" s="82">
        <v>484366</v>
      </c>
      <c r="F41" s="82">
        <v>455040</v>
      </c>
      <c r="G41" s="82"/>
      <c r="H41" s="82"/>
      <c r="I41" s="82"/>
      <c r="J41" s="82"/>
      <c r="K41" s="82"/>
      <c r="L41" s="82"/>
      <c r="M41" s="82"/>
    </row>
    <row r="42" spans="2:13" x14ac:dyDescent="0.35">
      <c r="B42" s="79" t="s">
        <v>128</v>
      </c>
      <c r="C42" s="82">
        <v>2474</v>
      </c>
      <c r="D42" s="82">
        <v>2130</v>
      </c>
      <c r="E42" s="82">
        <v>1877</v>
      </c>
      <c r="F42" s="82">
        <v>1570</v>
      </c>
      <c r="G42" s="82"/>
      <c r="H42" s="82"/>
      <c r="I42" s="82"/>
      <c r="J42" s="82"/>
      <c r="K42" s="82"/>
      <c r="L42" s="82"/>
      <c r="M42" s="82"/>
    </row>
    <row r="43" spans="2:13" x14ac:dyDescent="0.35">
      <c r="B43" s="79" t="s">
        <v>126</v>
      </c>
      <c r="C43" s="84"/>
      <c r="D43" s="82"/>
      <c r="E43" s="82"/>
      <c r="F43" s="82"/>
      <c r="G43" s="82"/>
      <c r="H43" s="82"/>
      <c r="I43" s="82"/>
      <c r="J43" s="82"/>
      <c r="K43" s="82"/>
      <c r="L43" s="82"/>
      <c r="M43" s="82"/>
    </row>
    <row r="44" spans="2:13" x14ac:dyDescent="0.35">
      <c r="B44" s="85" t="s">
        <v>182</v>
      </c>
      <c r="C44" s="86">
        <f>0.173+0.104</f>
        <v>0.27699999999999997</v>
      </c>
      <c r="D44" s="86"/>
      <c r="E44" s="86"/>
      <c r="F44" s="86"/>
      <c r="G44" s="86"/>
      <c r="H44" s="86"/>
      <c r="I44" s="86"/>
      <c r="J44" s="86"/>
      <c r="K44" s="86"/>
      <c r="L44" s="86"/>
      <c r="M44" s="86"/>
    </row>
    <row r="45" spans="2:13" x14ac:dyDescent="0.35">
      <c r="B45" s="85" t="s">
        <v>219</v>
      </c>
      <c r="C45" s="87">
        <f>IF(C44="","",C44*Exchange_Rate/Dashboard!$G$3)</f>
        <v>9.9898689776490621E-2</v>
      </c>
      <c r="D45" s="87" t="str">
        <f>IF(D44="","",D44*Exchange_Rate/Dashboard!$G$3)</f>
        <v/>
      </c>
      <c r="E45" s="87" t="str">
        <f>IF(E44="","",E44*Exchange_Rate/Dashboard!$G$3)</f>
        <v/>
      </c>
      <c r="F45" s="87" t="str">
        <f>IF(F44="","",F44*Exchange_Rate/Dashboard!$G$3)</f>
        <v/>
      </c>
      <c r="G45" s="87" t="str">
        <f>IF(G44="","",G44*Exchange_Rate/Dashboard!$G$3)</f>
        <v/>
      </c>
      <c r="H45" s="87" t="str">
        <f>IF(H44="","",H44*Exchange_Rate/Dashboard!$G$3)</f>
        <v/>
      </c>
      <c r="I45" s="87" t="str">
        <f>IF(I44="","",I44*Exchange_Rate/Dashboard!$G$3)</f>
        <v/>
      </c>
      <c r="J45" s="87" t="str">
        <f>IF(J44="","",J44*Exchange_Rate/Dashboard!$G$3)</f>
        <v/>
      </c>
      <c r="K45" s="87" t="str">
        <f>IF(K44="","",K44*Exchange_Rate/Dashboard!$G$3)</f>
        <v/>
      </c>
      <c r="L45" s="87" t="str">
        <f>IF(L44="","",L44*Exchange_Rate/Dashboard!$G$3)</f>
        <v/>
      </c>
      <c r="M45" s="87" t="str">
        <f>IF(M44="","",M44*Exchange_Rate/Dashboard!$G$3)</f>
        <v/>
      </c>
    </row>
    <row r="47" spans="2:13" x14ac:dyDescent="0.35">
      <c r="B47" s="88" t="str">
        <f>"Balance Sheet"&amp;IF(SUM(C48:C72)=C37+C41,"","- Error")</f>
        <v>Balance Sheet- Error</v>
      </c>
      <c r="C47" s="89" t="s">
        <v>27</v>
      </c>
      <c r="D47" s="89" t="s">
        <v>171</v>
      </c>
      <c r="E47" s="90" t="s">
        <v>29</v>
      </c>
    </row>
    <row r="48" spans="2:13" x14ac:dyDescent="0.35">
      <c r="B48" s="9" t="s">
        <v>30</v>
      </c>
      <c r="C48" s="91"/>
      <c r="D48" s="114">
        <v>0.9</v>
      </c>
      <c r="E48" s="266"/>
    </row>
    <row r="49" spans="2:5" x14ac:dyDescent="0.35">
      <c r="B49" s="2" t="s">
        <v>125</v>
      </c>
      <c r="C49" s="91"/>
      <c r="D49" s="114">
        <v>0.8</v>
      </c>
      <c r="E49" s="266"/>
    </row>
    <row r="50" spans="2:5" x14ac:dyDescent="0.35">
      <c r="B50" s="9" t="s">
        <v>107</v>
      </c>
      <c r="C50" s="91"/>
      <c r="D50" s="114">
        <f>D51</f>
        <v>0.6</v>
      </c>
      <c r="E50" s="266"/>
    </row>
    <row r="51" spans="2:5" x14ac:dyDescent="0.35">
      <c r="B51" s="9" t="s">
        <v>34</v>
      </c>
      <c r="C51" s="91"/>
      <c r="D51" s="114">
        <v>0.6</v>
      </c>
      <c r="E51" s="266"/>
    </row>
    <row r="52" spans="2:5" x14ac:dyDescent="0.35">
      <c r="B52" s="9" t="s">
        <v>36</v>
      </c>
      <c r="C52" s="91"/>
      <c r="D52" s="114">
        <v>0.5</v>
      </c>
      <c r="E52" s="266"/>
    </row>
    <row r="53" spans="2:5" x14ac:dyDescent="0.35">
      <c r="B53" s="2" t="s">
        <v>143</v>
      </c>
      <c r="C53" s="91"/>
      <c r="D53" s="114">
        <f>D50</f>
        <v>0.6</v>
      </c>
      <c r="E53" s="266"/>
    </row>
    <row r="54" spans="2:5" x14ac:dyDescent="0.35">
      <c r="B54" s="9" t="s">
        <v>227</v>
      </c>
      <c r="C54" s="91"/>
      <c r="D54" s="114">
        <v>0.1</v>
      </c>
      <c r="E54" s="266"/>
    </row>
    <row r="55" spans="2:5" x14ac:dyDescent="0.35">
      <c r="B55" s="9" t="s">
        <v>39</v>
      </c>
      <c r="C55" s="91"/>
      <c r="D55" s="114">
        <f>D52</f>
        <v>0.5</v>
      </c>
      <c r="E55" s="266"/>
    </row>
    <row r="56" spans="2:5" x14ac:dyDescent="0.35">
      <c r="B56" s="2" t="s">
        <v>40</v>
      </c>
      <c r="C56" s="91"/>
      <c r="D56" s="114">
        <f>D50</f>
        <v>0.6</v>
      </c>
      <c r="E56" s="267" t="s">
        <v>63</v>
      </c>
    </row>
    <row r="57" spans="2:5" x14ac:dyDescent="0.35">
      <c r="B57" s="9" t="s">
        <v>110</v>
      </c>
      <c r="C57" s="91"/>
      <c r="D57" s="114">
        <v>0.6</v>
      </c>
      <c r="E57" s="267" t="s">
        <v>38</v>
      </c>
    </row>
    <row r="58" spans="2:5" x14ac:dyDescent="0.35">
      <c r="B58" s="9" t="s">
        <v>42</v>
      </c>
      <c r="C58" s="91"/>
      <c r="D58" s="114">
        <f>D48</f>
        <v>0.9</v>
      </c>
      <c r="E58" s="266"/>
    </row>
    <row r="59" spans="2:5" x14ac:dyDescent="0.35">
      <c r="B59" s="12" t="s">
        <v>43</v>
      </c>
      <c r="C59" s="93"/>
      <c r="D59" s="115">
        <f>D70</f>
        <v>0.05</v>
      </c>
      <c r="E59" s="266"/>
    </row>
    <row r="60" spans="2:5" x14ac:dyDescent="0.35">
      <c r="B60" s="9" t="s">
        <v>53</v>
      </c>
      <c r="C60" s="91"/>
      <c r="D60" s="114">
        <f>D49</f>
        <v>0.8</v>
      </c>
      <c r="E60" s="266"/>
    </row>
    <row r="61" spans="2:5" x14ac:dyDescent="0.35">
      <c r="B61" s="9" t="s">
        <v>55</v>
      </c>
      <c r="C61" s="91"/>
      <c r="D61" s="114">
        <f>D51</f>
        <v>0.6</v>
      </c>
      <c r="E61" s="266"/>
    </row>
    <row r="62" spans="2:5" x14ac:dyDescent="0.35">
      <c r="B62" s="9" t="s">
        <v>57</v>
      </c>
      <c r="C62" s="91"/>
      <c r="D62" s="114">
        <f>D52</f>
        <v>0.5</v>
      </c>
      <c r="E62" s="266"/>
    </row>
    <row r="63" spans="2:5" x14ac:dyDescent="0.35">
      <c r="B63" s="2" t="s">
        <v>144</v>
      </c>
      <c r="C63" s="91"/>
      <c r="D63" s="114">
        <f>D62</f>
        <v>0.5</v>
      </c>
      <c r="E63" s="266"/>
    </row>
    <row r="64" spans="2:5" x14ac:dyDescent="0.35">
      <c r="B64" s="9" t="s">
        <v>226</v>
      </c>
      <c r="C64" s="91"/>
      <c r="D64" s="114">
        <v>0.4</v>
      </c>
      <c r="E64" s="266"/>
    </row>
    <row r="65" spans="2:5" x14ac:dyDescent="0.35">
      <c r="B65" s="9" t="s">
        <v>62</v>
      </c>
      <c r="C65" s="91"/>
      <c r="D65" s="114">
        <v>0.1</v>
      </c>
      <c r="E65" s="267" t="s">
        <v>63</v>
      </c>
    </row>
    <row r="66" spans="2:5" x14ac:dyDescent="0.35">
      <c r="B66" s="9" t="s">
        <v>64</v>
      </c>
      <c r="C66" s="91"/>
      <c r="D66" s="114">
        <v>0.2</v>
      </c>
      <c r="E66" s="267" t="s">
        <v>63</v>
      </c>
    </row>
    <row r="67" spans="2:5" x14ac:dyDescent="0.35">
      <c r="B67" s="2" t="s">
        <v>41</v>
      </c>
      <c r="C67" s="91"/>
      <c r="D67" s="114">
        <f>D65</f>
        <v>0.1</v>
      </c>
      <c r="E67" s="267" t="s">
        <v>38</v>
      </c>
    </row>
    <row r="68" spans="2:5" x14ac:dyDescent="0.35">
      <c r="B68" s="9" t="s">
        <v>109</v>
      </c>
      <c r="C68" s="91"/>
      <c r="D68" s="114">
        <f>D65</f>
        <v>0.1</v>
      </c>
      <c r="E68" s="266"/>
    </row>
    <row r="69" spans="2:5" x14ac:dyDescent="0.35">
      <c r="B69" s="9" t="s">
        <v>65</v>
      </c>
      <c r="C69" s="91"/>
      <c r="D69" s="114">
        <f>D70</f>
        <v>0.05</v>
      </c>
      <c r="E69" s="266"/>
    </row>
    <row r="70" spans="2:5" x14ac:dyDescent="0.35">
      <c r="B70" s="9" t="s">
        <v>66</v>
      </c>
      <c r="C70" s="91"/>
      <c r="D70" s="114">
        <v>0.05</v>
      </c>
      <c r="E70" s="266"/>
    </row>
    <row r="71" spans="2:5" x14ac:dyDescent="0.35">
      <c r="B71" s="9" t="s">
        <v>67</v>
      </c>
      <c r="C71" s="91"/>
      <c r="D71" s="114">
        <f>D58</f>
        <v>0.9</v>
      </c>
      <c r="E71" s="266"/>
    </row>
    <row r="72" spans="2:5" ht="12" thickBot="1" x14ac:dyDescent="0.4">
      <c r="B72" s="94" t="s">
        <v>68</v>
      </c>
      <c r="C72" s="95"/>
      <c r="D72" s="116">
        <v>0</v>
      </c>
      <c r="E72" s="268"/>
    </row>
    <row r="73" spans="2:5" x14ac:dyDescent="0.35">
      <c r="B73" s="9" t="s">
        <v>31</v>
      </c>
      <c r="C73" s="91"/>
    </row>
    <row r="74" spans="2:5" x14ac:dyDescent="0.35">
      <c r="B74" s="9" t="s">
        <v>32</v>
      </c>
      <c r="C74" s="91"/>
    </row>
    <row r="75" spans="2:5" x14ac:dyDescent="0.35">
      <c r="B75" s="9" t="s">
        <v>33</v>
      </c>
      <c r="C75" s="91"/>
    </row>
    <row r="76" spans="2:5" x14ac:dyDescent="0.35">
      <c r="B76" s="8" t="s">
        <v>35</v>
      </c>
      <c r="C76" s="93"/>
    </row>
    <row r="77" spans="2:5" ht="12" thickBot="1" x14ac:dyDescent="0.4">
      <c r="B77" s="96" t="s">
        <v>15</v>
      </c>
      <c r="C77" s="97"/>
    </row>
    <row r="78" spans="2:5" ht="12" thickTop="1" x14ac:dyDescent="0.35">
      <c r="B78" s="9" t="s">
        <v>54</v>
      </c>
      <c r="C78" s="91"/>
    </row>
    <row r="79" spans="2:5" x14ac:dyDescent="0.35">
      <c r="B79" s="9" t="s">
        <v>56</v>
      </c>
      <c r="C79" s="91"/>
    </row>
    <row r="80" spans="2:5" x14ac:dyDescent="0.35">
      <c r="B80" s="9" t="s">
        <v>58</v>
      </c>
      <c r="C80" s="91"/>
    </row>
    <row r="81" spans="2:8" x14ac:dyDescent="0.35">
      <c r="B81" s="8" t="s">
        <v>59</v>
      </c>
      <c r="C81" s="93"/>
    </row>
    <row r="82" spans="2:8" ht="12" hidden="1" thickBot="1" x14ac:dyDescent="0.4">
      <c r="B82" s="96" t="s">
        <v>248</v>
      </c>
      <c r="C82" s="84"/>
    </row>
    <row r="83" spans="2:8" ht="12" hidden="1" thickTop="1" x14ac:dyDescent="0.35">
      <c r="B83" s="98" t="s">
        <v>249</v>
      </c>
      <c r="C83" s="84"/>
    </row>
    <row r="84" spans="2:8" x14ac:dyDescent="0.35">
      <c r="B84" s="56" t="s">
        <v>82</v>
      </c>
      <c r="C84" s="91"/>
    </row>
    <row r="85" spans="2:8" x14ac:dyDescent="0.35">
      <c r="B85" s="56" t="s">
        <v>84</v>
      </c>
      <c r="C85" s="91"/>
    </row>
    <row r="86" spans="2:8" hidden="1" x14ac:dyDescent="0.35">
      <c r="B86" s="308" t="s">
        <v>278</v>
      </c>
      <c r="C86" s="84">
        <v>5</v>
      </c>
      <c r="D86" s="305"/>
    </row>
    <row r="87" spans="2:8" x14ac:dyDescent="0.35">
      <c r="B87" s="88" t="s">
        <v>218</v>
      </c>
      <c r="C87" s="112" t="s">
        <v>288</v>
      </c>
      <c r="D87" s="113">
        <v>0.02</v>
      </c>
    </row>
    <row r="89" spans="2:8" x14ac:dyDescent="0.35">
      <c r="B89" s="99" t="s">
        <v>117</v>
      </c>
      <c r="C89" s="309">
        <f>C24</f>
        <v>45291</v>
      </c>
      <c r="D89" s="309"/>
      <c r="E89" s="49" t="s">
        <v>181</v>
      </c>
      <c r="F89" s="49" t="s">
        <v>180</v>
      </c>
      <c r="H89" s="100"/>
    </row>
    <row r="90" spans="2:8" x14ac:dyDescent="0.35">
      <c r="B90" s="101" t="str">
        <f>"(Numbers in "&amp;Data!C4&amp;Dashboard!G6&amp;")"</f>
        <v>(Numbers in 1000000CNY)</v>
      </c>
      <c r="C90" s="310" t="s">
        <v>92</v>
      </c>
      <c r="D90" s="310"/>
      <c r="E90" s="296" t="s">
        <v>93</v>
      </c>
      <c r="F90" s="297" t="s">
        <v>93</v>
      </c>
    </row>
    <row r="91" spans="2:8" x14ac:dyDescent="0.35">
      <c r="B91" s="9" t="s">
        <v>116</v>
      </c>
      <c r="C91" s="102">
        <f>C25</f>
        <v>277533</v>
      </c>
      <c r="D91" s="103"/>
      <c r="E91" s="104">
        <f>C91</f>
        <v>277533</v>
      </c>
      <c r="F91" s="104">
        <f>C91</f>
        <v>277533</v>
      </c>
    </row>
    <row r="92" spans="2:8" x14ac:dyDescent="0.35">
      <c r="B92" s="105" t="s">
        <v>97</v>
      </c>
      <c r="C92" s="102">
        <f>C26</f>
        <v>55101</v>
      </c>
      <c r="D92" s="106">
        <f>C92/C91</f>
        <v>0.19853855217217412</v>
      </c>
      <c r="E92" s="107">
        <f>E91*D92</f>
        <v>55101</v>
      </c>
      <c r="F92" s="107">
        <f>F91*D92</f>
        <v>55101</v>
      </c>
    </row>
    <row r="93" spans="2:8" x14ac:dyDescent="0.35">
      <c r="B93" s="105" t="s">
        <v>217</v>
      </c>
      <c r="C93" s="102">
        <f>C27+C28</f>
        <v>43909</v>
      </c>
      <c r="D93" s="106">
        <f>C93/C91</f>
        <v>0.15821181625248168</v>
      </c>
      <c r="E93" s="107">
        <f>E91*D93</f>
        <v>43909</v>
      </c>
      <c r="F93" s="107">
        <f>F91*D93</f>
        <v>43909</v>
      </c>
    </row>
    <row r="94" spans="2:8" x14ac:dyDescent="0.35">
      <c r="B94" s="105" t="s">
        <v>223</v>
      </c>
      <c r="C94" s="102">
        <f>C29</f>
        <v>143329</v>
      </c>
      <c r="D94" s="106">
        <f>C94/C91</f>
        <v>0.51643948647548221</v>
      </c>
      <c r="E94" s="108"/>
      <c r="F94" s="107">
        <f>F91*D94</f>
        <v>143329</v>
      </c>
    </row>
    <row r="95" spans="2:8" x14ac:dyDescent="0.35">
      <c r="B95" s="18" t="s">
        <v>216</v>
      </c>
      <c r="C95" s="102">
        <f>ABS(MAX(C33,0)-C32)</f>
        <v>0</v>
      </c>
      <c r="D95" s="106">
        <f>C95/C91</f>
        <v>0</v>
      </c>
      <c r="E95" s="107">
        <f>E91*D95</f>
        <v>0</v>
      </c>
      <c r="F95" s="107">
        <f>F91*D95</f>
        <v>0</v>
      </c>
    </row>
    <row r="96" spans="2:8" x14ac:dyDescent="0.35">
      <c r="B96" s="18" t="s">
        <v>101</v>
      </c>
      <c r="C96" s="102">
        <f>MAX(C31,0)</f>
        <v>0</v>
      </c>
      <c r="D96" s="106">
        <f>C96/C91</f>
        <v>0</v>
      </c>
      <c r="E96" s="108"/>
      <c r="F96" s="107">
        <f>F91*D96</f>
        <v>0</v>
      </c>
    </row>
    <row r="97" spans="2:6" x14ac:dyDescent="0.35">
      <c r="B97" s="98" t="s">
        <v>152</v>
      </c>
      <c r="C97" s="102">
        <f>MAX(C30,0)/(1-C16)</f>
        <v>378.66666666666669</v>
      </c>
      <c r="D97" s="106">
        <f>C97/C91</f>
        <v>1.3644023113167324E-3</v>
      </c>
      <c r="E97" s="108"/>
      <c r="F97" s="107">
        <f>F91*D97</f>
        <v>378.66666666666669</v>
      </c>
    </row>
    <row r="98" spans="2:6" x14ac:dyDescent="0.35">
      <c r="B98" s="8" t="s">
        <v>182</v>
      </c>
      <c r="C98" s="109">
        <f>C44</f>
        <v>0.27699999999999997</v>
      </c>
      <c r="D98" s="110"/>
      <c r="E98" s="111">
        <f>F98</f>
        <v>0.21</v>
      </c>
      <c r="F98" s="111">
        <v>0.21</v>
      </c>
    </row>
  </sheetData>
  <mergeCells count="2">
    <mergeCell ref="C89:D89"/>
    <mergeCell ref="C90:D90"/>
  </mergeCells>
  <phoneticPr fontId="3" type="noConversion"/>
  <conditionalFormatting sqref="C16 C25:M33 D34:M43 C44:M44 E91:F93 F94 E95:F95 F96:F98">
    <cfRule type="containsBlanks" dxfId="22" priority="15">
      <formula>LEN(TRIM(C16))=0</formula>
    </cfRule>
  </conditionalFormatting>
  <conditionalFormatting sqref="C37:C38">
    <cfRule type="containsBlanks" dxfId="21" priority="1">
      <formula>LEN(TRIM(C37))=0</formula>
    </cfRule>
  </conditionalFormatting>
  <conditionalFormatting sqref="C41:C42">
    <cfRule type="containsBlanks" dxfId="20" priority="2">
      <formula>LEN(TRIM(C41))=0</formula>
    </cfRule>
  </conditionalFormatting>
  <conditionalFormatting sqref="C87">
    <cfRule type="containsBlanks" dxfId="19" priority="8">
      <formula>LEN(TRIM(C87))=0</formula>
    </cfRule>
  </conditionalFormatting>
  <conditionalFormatting sqref="C98">
    <cfRule type="containsBlanks" dxfId="18" priority="7">
      <formula>LEN(TRIM(C98))=0</formula>
    </cfRule>
  </conditionalFormatting>
  <conditionalFormatting sqref="E98">
    <cfRule type="containsBlanks" dxfId="17" priority="5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 tint="0.59999389629810485"/>
    <outlinePr summaryBelow="0" summaryRight="0"/>
    <pageSetUpPr fitToPage="1"/>
  </sheetPr>
  <dimension ref="A1:J923"/>
  <sheetViews>
    <sheetView showGridLines="0" zoomScaleNormal="100" workbookViewId="0">
      <selection activeCell="H20" sqref="H20"/>
    </sheetView>
  </sheetViews>
  <sheetFormatPr defaultColWidth="12.33203125" defaultRowHeight="15" customHeight="1" x14ac:dyDescent="0.35"/>
  <cols>
    <col min="1" max="1" width="2.33203125" style="2" customWidth="1"/>
    <col min="2" max="2" width="30.6640625" style="2" customWidth="1"/>
    <col min="3" max="4" width="14.796875" style="2" customWidth="1"/>
    <col min="5" max="5" width="5.796875" style="2" customWidth="1"/>
    <col min="6" max="6" width="24.33203125" style="2" customWidth="1"/>
    <col min="7" max="8" width="14.796875" style="2" customWidth="1"/>
    <col min="9" max="9" width="14.33203125" style="2" bestFit="1" customWidth="1"/>
    <col min="10" max="16384" width="12.33203125" style="2"/>
  </cols>
  <sheetData>
    <row r="1" spans="1:10" ht="15" customHeight="1" x14ac:dyDescent="0.35">
      <c r="B1" s="3"/>
      <c r="C1" s="3"/>
      <c r="D1" s="3"/>
      <c r="E1" s="3"/>
      <c r="F1" s="3"/>
      <c r="G1" s="3"/>
      <c r="H1" s="3"/>
    </row>
    <row r="2" spans="1:10" ht="15.75" customHeight="1" x14ac:dyDescent="0.35">
      <c r="A2" s="4"/>
      <c r="B2" s="5" t="s">
        <v>0</v>
      </c>
      <c r="C2" s="6" t="str">
        <f>C3&amp;" : "&amp;C4</f>
        <v>6818.HK : 中国光大银行</v>
      </c>
      <c r="D2" s="3"/>
      <c r="E2" s="7"/>
      <c r="F2" s="7"/>
      <c r="G2" s="8"/>
      <c r="H2" s="8"/>
    </row>
    <row r="3" spans="1:10" ht="15.75" customHeight="1" x14ac:dyDescent="0.35">
      <c r="B3" s="9" t="s">
        <v>169</v>
      </c>
      <c r="C3" s="315" t="str">
        <f>Inputs!C4</f>
        <v>6818.HK</v>
      </c>
      <c r="D3" s="316"/>
      <c r="E3" s="3"/>
      <c r="F3" s="9" t="s">
        <v>1</v>
      </c>
      <c r="G3" s="10">
        <v>2.95</v>
      </c>
      <c r="H3" s="11" t="s">
        <v>258</v>
      </c>
    </row>
    <row r="4" spans="1:10" ht="15.75" customHeight="1" x14ac:dyDescent="0.35">
      <c r="B4" s="12" t="s">
        <v>170</v>
      </c>
      <c r="C4" s="317" t="str">
        <f>Inputs!C5</f>
        <v>中国光大银行</v>
      </c>
      <c r="D4" s="318"/>
      <c r="E4" s="3"/>
      <c r="F4" s="9" t="s">
        <v>2</v>
      </c>
      <c r="G4" s="321">
        <f>Inputs!C10</f>
        <v>59085551061</v>
      </c>
      <c r="H4" s="321"/>
      <c r="I4" s="14"/>
    </row>
    <row r="5" spans="1:10" ht="15.75" customHeight="1" x14ac:dyDescent="0.35">
      <c r="B5" s="9" t="s">
        <v>147</v>
      </c>
      <c r="C5" s="319">
        <f>Inputs!C6</f>
        <v>45606</v>
      </c>
      <c r="D5" s="320"/>
      <c r="E5" s="16"/>
      <c r="F5" s="12" t="s">
        <v>91</v>
      </c>
      <c r="G5" s="313">
        <f>G3*G4/1000000</f>
        <v>174302.37562995002</v>
      </c>
      <c r="H5" s="313"/>
      <c r="I5" s="17"/>
      <c r="J5" s="18"/>
    </row>
    <row r="6" spans="1:10" ht="15.75" customHeight="1" x14ac:dyDescent="0.35">
      <c r="B6" s="3" t="s">
        <v>3</v>
      </c>
      <c r="C6" s="129">
        <f>Inputs!C7</f>
        <v>8</v>
      </c>
      <c r="D6" s="19">
        <f>EOMONTH(EDATE(Fin_Analysis!D9,C6),0)</f>
        <v>45716</v>
      </c>
      <c r="E6" s="20">
        <f>IF(Fin_Analysis!E9="FY",Fin_Analysis!D9,Data!C3)</f>
        <v>45291</v>
      </c>
      <c r="F6" s="9" t="s">
        <v>4</v>
      </c>
      <c r="G6" s="314" t="str">
        <f>Inputs!C11</f>
        <v>CNY</v>
      </c>
      <c r="H6" s="314"/>
      <c r="I6" s="17"/>
    </row>
    <row r="7" spans="1:10" ht="15.75" customHeight="1" x14ac:dyDescent="0.35">
      <c r="B7" s="8" t="s">
        <v>167</v>
      </c>
      <c r="C7" s="128" t="str">
        <f>Inputs!C8</f>
        <v xml:space="preserve">Superior Cycl. </v>
      </c>
      <c r="D7" s="128" t="str">
        <f>Inputs!C9</f>
        <v>C0014</v>
      </c>
      <c r="E7" s="3"/>
      <c r="F7" s="12" t="s">
        <v>5</v>
      </c>
      <c r="G7" s="21">
        <v>1.0639030138651531</v>
      </c>
      <c r="H7" s="22" t="str">
        <f>IF(G6=Dashboard!H3,H3,G6&amp;"/"&amp;Dashboard!H3)</f>
        <v>CNY/HKD</v>
      </c>
    </row>
    <row r="8" spans="1:10" ht="15.75" customHeight="1" x14ac:dyDescent="0.35"/>
    <row r="9" spans="1:10" ht="15.75" customHeight="1" x14ac:dyDescent="0.35">
      <c r="B9" s="88" t="s">
        <v>259</v>
      </c>
      <c r="C9" s="293"/>
      <c r="D9" s="293"/>
      <c r="F9" s="23" t="s">
        <v>162</v>
      </c>
    </row>
    <row r="10" spans="1:10" ht="15.75" customHeight="1" x14ac:dyDescent="0.35">
      <c r="B10" s="2" t="s">
        <v>154</v>
      </c>
      <c r="C10" s="24">
        <v>4.2000000000000003E-2</v>
      </c>
      <c r="F10" s="25" t="s">
        <v>161</v>
      </c>
    </row>
    <row r="11" spans="1:10" ht="15.75" customHeight="1" thickBot="1" x14ac:dyDescent="0.4">
      <c r="B11" s="26" t="s">
        <v>158</v>
      </c>
      <c r="C11" s="27">
        <v>5.2299999999999999E-2</v>
      </c>
      <c r="D11" s="28" t="s">
        <v>166</v>
      </c>
      <c r="F11" s="25" t="s">
        <v>156</v>
      </c>
    </row>
    <row r="12" spans="1:10" ht="15.75" customHeight="1" thickTop="1" x14ac:dyDescent="0.35">
      <c r="B12" s="3" t="s">
        <v>220</v>
      </c>
      <c r="C12" s="120">
        <v>7.4999999999999997E-2</v>
      </c>
      <c r="D12" s="121">
        <v>8.0625000000000002E-2</v>
      </c>
      <c r="F12" s="25"/>
    </row>
    <row r="13" spans="1:10" ht="15.75" customHeight="1" x14ac:dyDescent="0.35"/>
    <row r="14" spans="1:10" ht="15.75" customHeight="1" x14ac:dyDescent="0.35">
      <c r="B14" s="2" t="s">
        <v>155</v>
      </c>
      <c r="C14" s="24">
        <v>1.8100000000000002E-2</v>
      </c>
      <c r="F14" s="25" t="s">
        <v>160</v>
      </c>
    </row>
    <row r="15" spans="1:10" ht="15.75" customHeight="1" x14ac:dyDescent="0.35">
      <c r="B15" s="2" t="s">
        <v>163</v>
      </c>
      <c r="C15" s="24">
        <v>6.5000000000000002E-2</v>
      </c>
      <c r="F15" s="25" t="s">
        <v>159</v>
      </c>
    </row>
    <row r="16" spans="1:10" ht="15.75" customHeight="1" thickBot="1" x14ac:dyDescent="0.4">
      <c r="B16" s="26" t="s">
        <v>164</v>
      </c>
      <c r="C16" s="27">
        <v>0.16</v>
      </c>
      <c r="D16" s="29" t="str">
        <f>Inputs!C15</f>
        <v>CN</v>
      </c>
      <c r="F16" s="25" t="s">
        <v>157</v>
      </c>
    </row>
    <row r="17" spans="1:8" ht="15.75" customHeight="1" thickTop="1" x14ac:dyDescent="0.35">
      <c r="B17" s="3" t="s">
        <v>221</v>
      </c>
      <c r="C17" s="119">
        <v>8.6249999999999993E-2</v>
      </c>
      <c r="D17" s="122"/>
    </row>
    <row r="18" spans="1:8" ht="15.75" customHeight="1" x14ac:dyDescent="0.35"/>
    <row r="19" spans="1:8" ht="15.75" customHeight="1" thickBot="1" x14ac:dyDescent="0.4">
      <c r="B19" s="88" t="s">
        <v>243</v>
      </c>
      <c r="C19" s="293"/>
      <c r="D19" s="293"/>
      <c r="E19" s="3"/>
      <c r="F19" s="88" t="s">
        <v>187</v>
      </c>
      <c r="G19" s="293"/>
      <c r="H19" s="293"/>
    </row>
    <row r="20" spans="1:8" ht="15.75" customHeight="1" thickBot="1" x14ac:dyDescent="0.4">
      <c r="B20" s="30" t="s">
        <v>234</v>
      </c>
      <c r="C20" s="31">
        <f>C21*C22*C23</f>
        <v>0.31341863846073098</v>
      </c>
      <c r="F20" s="3" t="s">
        <v>186</v>
      </c>
      <c r="G20" s="121">
        <v>0.15</v>
      </c>
      <c r="H20" s="307">
        <v>3</v>
      </c>
    </row>
    <row r="21" spans="1:8" ht="15.75" customHeight="1" thickTop="1" x14ac:dyDescent="0.35">
      <c r="B21" s="32" t="s">
        <v>239</v>
      </c>
      <c r="C21" s="33">
        <f>Data!C13</f>
        <v>0.64188522926402747</v>
      </c>
      <c r="F21" s="3"/>
      <c r="G21" s="34"/>
    </row>
    <row r="22" spans="1:8" ht="15.75" customHeight="1" x14ac:dyDescent="0.35">
      <c r="B22" s="35" t="s">
        <v>246</v>
      </c>
      <c r="C22" s="36">
        <f>Data!C48</f>
        <v>4.083352877148802E-2</v>
      </c>
      <c r="F22" s="88" t="s">
        <v>260</v>
      </c>
      <c r="G22" s="293"/>
      <c r="H22" s="293"/>
    </row>
    <row r="23" spans="1:8" ht="15.75" customHeight="1" thickBot="1" x14ac:dyDescent="0.4">
      <c r="B23" s="37" t="s">
        <v>252</v>
      </c>
      <c r="C23" s="38">
        <f>1/Data!C53</f>
        <v>11.957779064059777</v>
      </c>
      <c r="F23" s="39" t="s">
        <v>165</v>
      </c>
      <c r="G23" s="40">
        <f>G3/(Data!C34*Data!C4/Common_Shares*Exchange_Rate)</f>
        <v>0.28699071754766559</v>
      </c>
    </row>
    <row r="24" spans="1:8" ht="15.75" customHeight="1" x14ac:dyDescent="0.35">
      <c r="B24" s="41" t="s">
        <v>240</v>
      </c>
      <c r="C24" s="42">
        <f>Fin_Analysis!I81</f>
        <v>0.51643948647548221</v>
      </c>
      <c r="F24" s="39" t="s">
        <v>225</v>
      </c>
      <c r="G24" s="43">
        <f>G3/(Fin_Analysis!H86*G7)</f>
        <v>6.2743601850850403</v>
      </c>
    </row>
    <row r="25" spans="1:8" ht="15.75" customHeight="1" x14ac:dyDescent="0.35">
      <c r="B25" s="28" t="s">
        <v>241</v>
      </c>
      <c r="C25" s="44">
        <f>Fin_Analysis!I80</f>
        <v>0</v>
      </c>
      <c r="F25" s="39" t="s">
        <v>153</v>
      </c>
      <c r="G25" s="44">
        <f>Fin_Analysis!I88</f>
        <v>0.47519160993470294</v>
      </c>
    </row>
    <row r="26" spans="1:8" ht="15.75" customHeight="1" x14ac:dyDescent="0.35">
      <c r="B26" s="45" t="s">
        <v>242</v>
      </c>
      <c r="C26" s="44">
        <f>Fin_Analysis!I80+Fin_Analysis!I82</f>
        <v>0</v>
      </c>
      <c r="F26" s="46" t="s">
        <v>168</v>
      </c>
      <c r="G26" s="47">
        <f>Fin_Analysis!H88*Exchange_Rate/G3</f>
        <v>7.5735468783621057E-2</v>
      </c>
    </row>
    <row r="27" spans="1:8" ht="15.75" customHeight="1" x14ac:dyDescent="0.35"/>
    <row r="28" spans="1:8" ht="15.75" customHeight="1" x14ac:dyDescent="0.35">
      <c r="A28" s="4"/>
      <c r="B28" s="48" t="s">
        <v>6</v>
      </c>
      <c r="C28" s="49" t="s">
        <v>149</v>
      </c>
      <c r="D28" s="50" t="s">
        <v>150</v>
      </c>
      <c r="E28" s="51"/>
      <c r="F28" s="52" t="s">
        <v>210</v>
      </c>
      <c r="G28" s="311" t="s">
        <v>224</v>
      </c>
      <c r="H28" s="311"/>
    </row>
    <row r="29" spans="1:8" ht="15.75" customHeight="1" x14ac:dyDescent="0.35">
      <c r="B29" s="3" t="s">
        <v>151</v>
      </c>
      <c r="C29" s="53">
        <f>IF(Fin_Analysis!C108="Profit",Fin_Analysis!D100,IF(Fin_Analysis!C108="Dividend",Fin_Analysis!D103,Fin_Analysis!D106))</f>
        <v>2.3462663972208624</v>
      </c>
      <c r="D29" s="54">
        <f>G29*(1+G20)</f>
        <v>3.7666944148339958</v>
      </c>
      <c r="E29" s="3"/>
      <c r="F29" s="55">
        <f>IF(Fin_Analysis!C108="Profit",Fin_Analysis!F100,IF(Fin_Analysis!C108="Dividend",Fin_Analysis!F103,Fin_Analysis!F106))</f>
        <v>2.7603134084951324</v>
      </c>
      <c r="G29" s="312">
        <f>IF(Fin_Analysis!C108="Profit",Fin_Analysis!I100,IF(Fin_Analysis!C108="Dividend",Fin_Analysis!I103,Fin_Analysis!I106))</f>
        <v>3.2753864476817358</v>
      </c>
      <c r="H29" s="312"/>
    </row>
    <row r="30" spans="1:8" ht="15.75" customHeight="1" x14ac:dyDescent="0.35"/>
    <row r="31" spans="1:8" ht="15.75" customHeight="1" x14ac:dyDescent="0.35">
      <c r="A31" s="4"/>
      <c r="B31" s="5" t="s">
        <v>196</v>
      </c>
    </row>
    <row r="32" spans="1:8" ht="15.75" customHeight="1" x14ac:dyDescent="0.35">
      <c r="B32" s="88" t="s">
        <v>197</v>
      </c>
      <c r="C32" s="293"/>
      <c r="D32" s="293"/>
    </row>
    <row r="33" spans="1:4" ht="15.75" customHeight="1" x14ac:dyDescent="0.35">
      <c r="B33" s="56" t="s">
        <v>198</v>
      </c>
      <c r="C33" s="117" t="str">
        <f>Inputs!C17</f>
        <v>Strongly agree</v>
      </c>
    </row>
    <row r="34" spans="1:4" ht="15.75" customHeight="1" x14ac:dyDescent="0.35">
      <c r="B34" s="57" t="s">
        <v>199</v>
      </c>
      <c r="C34" s="58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4" ht="15.75" customHeight="1" x14ac:dyDescent="0.35">
      <c r="B35" s="88" t="s">
        <v>259</v>
      </c>
      <c r="C35" s="293"/>
      <c r="D35" s="293"/>
    </row>
    <row r="36" spans="1:4" ht="15.75" customHeight="1" x14ac:dyDescent="0.35">
      <c r="B36" s="56" t="s">
        <v>211</v>
      </c>
      <c r="C36" s="117" t="str">
        <f>Inputs!C18</f>
        <v>agree</v>
      </c>
    </row>
    <row r="37" spans="1:4" ht="15.75" customHeight="1" x14ac:dyDescent="0.35">
      <c r="B37" s="56" t="s">
        <v>212</v>
      </c>
      <c r="C37" s="117" t="str">
        <f>Inputs!C19</f>
        <v>agree</v>
      </c>
    </row>
    <row r="38" spans="1:4" ht="15.75" customHeight="1" x14ac:dyDescent="0.35">
      <c r="B38" s="88" t="s">
        <v>200</v>
      </c>
      <c r="C38" s="293"/>
      <c r="D38" s="293"/>
    </row>
    <row r="39" spans="1:4" ht="15.75" customHeight="1" x14ac:dyDescent="0.35">
      <c r="B39" s="57" t="s">
        <v>201</v>
      </c>
      <c r="C39" s="117" t="str">
        <f>Inputs!C20</f>
        <v>agree</v>
      </c>
    </row>
    <row r="40" spans="1:4" ht="15.75" customHeight="1" x14ac:dyDescent="0.35">
      <c r="B40" s="2" t="s">
        <v>204</v>
      </c>
      <c r="C40" s="117" t="str">
        <f>Inputs!C21</f>
        <v>Strongly agree</v>
      </c>
    </row>
    <row r="41" spans="1:4" ht="15.75" customHeight="1" x14ac:dyDescent="0.35"/>
    <row r="42" spans="1:4" ht="15.75" customHeight="1" x14ac:dyDescent="0.35">
      <c r="A42" s="4"/>
      <c r="B42" s="5" t="s">
        <v>202</v>
      </c>
    </row>
    <row r="43" spans="1:4" ht="58.15" x14ac:dyDescent="0.35">
      <c r="B43" s="59" t="s">
        <v>203</v>
      </c>
      <c r="C43" s="118" t="str">
        <f>Inputs!C22</f>
        <v>Consumer Monopoly</v>
      </c>
    </row>
    <row r="44" spans="1:4" ht="15.75" customHeight="1" x14ac:dyDescent="0.35"/>
    <row r="45" spans="1:4" ht="15.75" customHeight="1" x14ac:dyDescent="0.35"/>
    <row r="46" spans="1:4" ht="15.75" customHeight="1" x14ac:dyDescent="0.35"/>
    <row r="47" spans="1:4" ht="15.75" customHeight="1" x14ac:dyDescent="0.35"/>
    <row r="48" spans="1:4" ht="15.75" customHeight="1" x14ac:dyDescent="0.35"/>
    <row r="49" s="2" customFormat="1" ht="15.75" customHeight="1" x14ac:dyDescent="0.35"/>
    <row r="50" s="2" customFormat="1" ht="15.75" customHeight="1" x14ac:dyDescent="0.35"/>
    <row r="51" s="2" customFormat="1" ht="15.75" customHeight="1" x14ac:dyDescent="0.35"/>
    <row r="52" s="2" customFormat="1" ht="15.75" customHeight="1" x14ac:dyDescent="0.35"/>
    <row r="53" s="2" customFormat="1" ht="15.75" customHeight="1" x14ac:dyDescent="0.35"/>
    <row r="54" s="2" customFormat="1" ht="15.75" customHeight="1" x14ac:dyDescent="0.35"/>
    <row r="55" s="2" customFormat="1" ht="15.75" customHeight="1" x14ac:dyDescent="0.35"/>
    <row r="56" s="2" customFormat="1" ht="15.75" customHeight="1" x14ac:dyDescent="0.35"/>
    <row r="57" s="2" customFormat="1" ht="15.75" customHeight="1" x14ac:dyDescent="0.35"/>
    <row r="58" s="2" customFormat="1" ht="15.75" customHeight="1" x14ac:dyDescent="0.35"/>
    <row r="59" s="2" customFormat="1" ht="15.75" customHeight="1" x14ac:dyDescent="0.35"/>
    <row r="60" s="2" customFormat="1" ht="15.75" customHeight="1" x14ac:dyDescent="0.35"/>
    <row r="61" s="2" customFormat="1" ht="15.75" customHeight="1" x14ac:dyDescent="0.35"/>
    <row r="62" s="2" customFormat="1" ht="15.75" customHeight="1" x14ac:dyDescent="0.35"/>
    <row r="63" s="2" customFormat="1" ht="15.75" customHeight="1" x14ac:dyDescent="0.35"/>
    <row r="64" s="2" customFormat="1" ht="15.75" customHeight="1" x14ac:dyDescent="0.35"/>
    <row r="65" s="2" customFormat="1" ht="15.75" customHeight="1" x14ac:dyDescent="0.35"/>
    <row r="66" s="2" customFormat="1" ht="15.75" customHeight="1" x14ac:dyDescent="0.35"/>
    <row r="67" s="2" customFormat="1" ht="15.75" customHeight="1" x14ac:dyDescent="0.35"/>
    <row r="68" s="2" customFormat="1" ht="15.75" customHeight="1" x14ac:dyDescent="0.35"/>
    <row r="69" s="2" customFormat="1" ht="15.75" customHeight="1" x14ac:dyDescent="0.35"/>
    <row r="70" s="2" customFormat="1" ht="15.75" customHeight="1" x14ac:dyDescent="0.35"/>
    <row r="71" s="2" customFormat="1" ht="15.75" customHeight="1" x14ac:dyDescent="0.35"/>
    <row r="72" s="2" customFormat="1" ht="15.75" customHeight="1" x14ac:dyDescent="0.35"/>
    <row r="73" s="2" customFormat="1" ht="15.75" customHeight="1" x14ac:dyDescent="0.35"/>
    <row r="74" s="2" customFormat="1" ht="15.75" customHeight="1" x14ac:dyDescent="0.35"/>
    <row r="75" s="2" customFormat="1" ht="15.75" customHeight="1" x14ac:dyDescent="0.35"/>
    <row r="76" s="2" customFormat="1" ht="15.75" customHeight="1" x14ac:dyDescent="0.35"/>
    <row r="77" s="2" customFormat="1" ht="15.75" customHeight="1" x14ac:dyDescent="0.35"/>
    <row r="78" s="2" customFormat="1" ht="15.75" customHeight="1" x14ac:dyDescent="0.35"/>
    <row r="79" s="2" customFormat="1" ht="15.75" customHeight="1" x14ac:dyDescent="0.35"/>
    <row r="80" s="2" customFormat="1" ht="15.75" customHeight="1" x14ac:dyDescent="0.35"/>
    <row r="81" s="2" customFormat="1" ht="15.75" customHeight="1" x14ac:dyDescent="0.35"/>
    <row r="82" s="2" customFormat="1" ht="15.75" customHeight="1" x14ac:dyDescent="0.35"/>
    <row r="83" s="2" customFormat="1" ht="15.75" customHeight="1" x14ac:dyDescent="0.35"/>
    <row r="84" s="2" customFormat="1" ht="15.75" customHeight="1" x14ac:dyDescent="0.35"/>
    <row r="85" s="2" customFormat="1" ht="15.75" customHeight="1" x14ac:dyDescent="0.35"/>
    <row r="86" s="2" customFormat="1" ht="15.75" customHeight="1" x14ac:dyDescent="0.35"/>
    <row r="87" s="2" customFormat="1" ht="15.75" customHeight="1" x14ac:dyDescent="0.35"/>
    <row r="88" s="2" customFormat="1" ht="15.75" customHeight="1" x14ac:dyDescent="0.35"/>
    <row r="89" s="2" customFormat="1" ht="15.75" customHeight="1" x14ac:dyDescent="0.35"/>
    <row r="90" s="2" customFormat="1" ht="15.75" customHeight="1" x14ac:dyDescent="0.35"/>
    <row r="91" s="2" customFormat="1" ht="15.75" customHeight="1" x14ac:dyDescent="0.35"/>
    <row r="92" s="2" customFormat="1" ht="15.75" customHeight="1" x14ac:dyDescent="0.35"/>
    <row r="93" s="2" customFormat="1" ht="15.75" customHeight="1" x14ac:dyDescent="0.35"/>
    <row r="94" s="2" customFormat="1" ht="15.75" customHeight="1" x14ac:dyDescent="0.35"/>
    <row r="95" s="2" customFormat="1" ht="15.75" customHeight="1" x14ac:dyDescent="0.35"/>
    <row r="96" s="2" customFormat="1" ht="15.75" customHeight="1" x14ac:dyDescent="0.35"/>
    <row r="97" s="2" customFormat="1" ht="15.75" customHeight="1" x14ac:dyDescent="0.35"/>
    <row r="98" s="2" customFormat="1" ht="15.75" customHeight="1" x14ac:dyDescent="0.35"/>
    <row r="99" s="2" customFormat="1" ht="15.75" customHeight="1" x14ac:dyDescent="0.35"/>
    <row r="100" s="2" customFormat="1" ht="15.75" customHeight="1" x14ac:dyDescent="0.35"/>
    <row r="101" s="2" customFormat="1" ht="15.75" customHeight="1" x14ac:dyDescent="0.35"/>
    <row r="102" s="2" customFormat="1" ht="15.75" customHeight="1" x14ac:dyDescent="0.35"/>
    <row r="103" s="2" customFormat="1" ht="15.75" customHeight="1" x14ac:dyDescent="0.35"/>
    <row r="104" s="2" customFormat="1" ht="15.75" customHeight="1" x14ac:dyDescent="0.35"/>
    <row r="105" s="2" customFormat="1" ht="15.75" customHeight="1" x14ac:dyDescent="0.35"/>
    <row r="106" s="2" customFormat="1" ht="15.75" customHeight="1" x14ac:dyDescent="0.35"/>
    <row r="107" s="2" customFormat="1" ht="15.75" customHeight="1" x14ac:dyDescent="0.35"/>
    <row r="108" s="2" customFormat="1" ht="15.75" customHeight="1" x14ac:dyDescent="0.35"/>
    <row r="109" s="2" customFormat="1" ht="15.75" customHeight="1" x14ac:dyDescent="0.35"/>
    <row r="110" s="2" customFormat="1" ht="15.75" customHeight="1" x14ac:dyDescent="0.35"/>
    <row r="111" s="2" customFormat="1" ht="15.75" customHeight="1" x14ac:dyDescent="0.35"/>
    <row r="112" s="2" customFormat="1" ht="15.75" customHeight="1" x14ac:dyDescent="0.35"/>
    <row r="113" s="2" customFormat="1" ht="15.75" customHeight="1" x14ac:dyDescent="0.35"/>
    <row r="114" s="2" customFormat="1" ht="15.75" customHeight="1" x14ac:dyDescent="0.35"/>
    <row r="115" s="2" customFormat="1" ht="15.75" customHeight="1" x14ac:dyDescent="0.35"/>
    <row r="116" s="2" customFormat="1" ht="15.75" customHeight="1" x14ac:dyDescent="0.35"/>
    <row r="117" s="2" customFormat="1" ht="15.75" customHeight="1" x14ac:dyDescent="0.35"/>
    <row r="118" s="2" customFormat="1" ht="15.75" customHeight="1" x14ac:dyDescent="0.35"/>
    <row r="119" s="2" customFormat="1" ht="15.75" customHeight="1" x14ac:dyDescent="0.35"/>
    <row r="120" s="2" customFormat="1" ht="15.75" customHeight="1" x14ac:dyDescent="0.35"/>
    <row r="121" s="2" customFormat="1" ht="15.75" customHeight="1" x14ac:dyDescent="0.35"/>
    <row r="122" s="2" customFormat="1" ht="15.75" customHeight="1" x14ac:dyDescent="0.35"/>
    <row r="123" s="2" customFormat="1" ht="15.75" customHeight="1" x14ac:dyDescent="0.35"/>
    <row r="124" s="2" customFormat="1" ht="15.75" customHeight="1" x14ac:dyDescent="0.35"/>
    <row r="125" s="2" customFormat="1" ht="15.75" customHeight="1" x14ac:dyDescent="0.35"/>
    <row r="126" s="2" customFormat="1" ht="15.75" customHeight="1" x14ac:dyDescent="0.35"/>
    <row r="127" s="2" customFormat="1" ht="15.75" customHeight="1" x14ac:dyDescent="0.35"/>
    <row r="128" s="2" customFormat="1" ht="15.75" customHeight="1" x14ac:dyDescent="0.35"/>
    <row r="129" s="2" customFormat="1" ht="15.75" customHeight="1" x14ac:dyDescent="0.35"/>
    <row r="130" s="2" customFormat="1" ht="15.75" customHeight="1" x14ac:dyDescent="0.35"/>
    <row r="131" s="2" customFormat="1" ht="15.75" customHeight="1" x14ac:dyDescent="0.35"/>
    <row r="132" s="2" customFormat="1" ht="15.75" customHeight="1" x14ac:dyDescent="0.35"/>
    <row r="133" s="2" customFormat="1" ht="15.75" customHeight="1" x14ac:dyDescent="0.35"/>
    <row r="134" s="2" customFormat="1" ht="15.75" customHeight="1" x14ac:dyDescent="0.35"/>
    <row r="135" s="2" customFormat="1" ht="15.75" customHeight="1" x14ac:dyDescent="0.35"/>
    <row r="136" s="2" customFormat="1" ht="15.75" customHeight="1" x14ac:dyDescent="0.35"/>
    <row r="137" s="2" customFormat="1" ht="15.75" customHeight="1" x14ac:dyDescent="0.35"/>
    <row r="138" s="2" customFormat="1" ht="15.75" customHeight="1" x14ac:dyDescent="0.35"/>
    <row r="139" s="2" customFormat="1" ht="15.75" customHeight="1" x14ac:dyDescent="0.35"/>
    <row r="140" s="2" customFormat="1" ht="15.75" customHeight="1" x14ac:dyDescent="0.35"/>
    <row r="141" s="2" customFormat="1" ht="15.75" customHeight="1" x14ac:dyDescent="0.35"/>
    <row r="142" s="2" customFormat="1" ht="15.75" customHeight="1" x14ac:dyDescent="0.35"/>
    <row r="143" s="2" customFormat="1" ht="15.75" customHeight="1" x14ac:dyDescent="0.35"/>
    <row r="144" s="2" customFormat="1" ht="15.75" customHeight="1" x14ac:dyDescent="0.35"/>
    <row r="145" s="2" customFormat="1" ht="15.75" customHeight="1" x14ac:dyDescent="0.35"/>
    <row r="146" s="2" customFormat="1" ht="15.75" customHeight="1" x14ac:dyDescent="0.35"/>
    <row r="147" s="2" customFormat="1" ht="15.75" customHeight="1" x14ac:dyDescent="0.35"/>
    <row r="148" s="2" customFormat="1" ht="15.75" customHeight="1" x14ac:dyDescent="0.35"/>
    <row r="149" s="2" customFormat="1" ht="15.75" customHeight="1" x14ac:dyDescent="0.35"/>
    <row r="150" s="2" customFormat="1" ht="15.75" customHeight="1" x14ac:dyDescent="0.35"/>
    <row r="151" s="2" customFormat="1" ht="15.75" customHeight="1" x14ac:dyDescent="0.35"/>
    <row r="152" s="2" customFormat="1" ht="15.75" customHeight="1" x14ac:dyDescent="0.35"/>
    <row r="153" s="2" customFormat="1" ht="15.75" customHeight="1" x14ac:dyDescent="0.35"/>
    <row r="154" s="2" customFormat="1" ht="15.75" customHeight="1" x14ac:dyDescent="0.35"/>
    <row r="155" s="2" customFormat="1" ht="15.75" customHeight="1" x14ac:dyDescent="0.35"/>
    <row r="156" s="2" customFormat="1" ht="15.75" customHeight="1" x14ac:dyDescent="0.35"/>
    <row r="157" s="2" customFormat="1" ht="15.75" customHeight="1" x14ac:dyDescent="0.35"/>
    <row r="158" s="2" customFormat="1" ht="15.75" customHeight="1" x14ac:dyDescent="0.35"/>
    <row r="159" s="2" customFormat="1" ht="15.75" customHeight="1" x14ac:dyDescent="0.35"/>
    <row r="160" s="2" customFormat="1" ht="15.75" customHeight="1" x14ac:dyDescent="0.35"/>
    <row r="161" s="2" customFormat="1" ht="15.75" customHeight="1" x14ac:dyDescent="0.35"/>
    <row r="162" s="2" customFormat="1" ht="15.75" customHeight="1" x14ac:dyDescent="0.35"/>
    <row r="163" s="2" customFormat="1" ht="15.75" customHeight="1" x14ac:dyDescent="0.35"/>
    <row r="164" s="2" customFormat="1" ht="15.75" customHeight="1" x14ac:dyDescent="0.35"/>
    <row r="165" s="2" customFormat="1" ht="15.75" customHeight="1" x14ac:dyDescent="0.35"/>
    <row r="166" s="2" customFormat="1" ht="15.75" customHeight="1" x14ac:dyDescent="0.35"/>
    <row r="167" s="2" customFormat="1" ht="15.75" customHeight="1" x14ac:dyDescent="0.35"/>
    <row r="168" s="2" customFormat="1" ht="15.75" customHeight="1" x14ac:dyDescent="0.35"/>
    <row r="169" s="2" customFormat="1" ht="15.75" customHeight="1" x14ac:dyDescent="0.35"/>
    <row r="170" s="2" customFormat="1" ht="15.75" customHeight="1" x14ac:dyDescent="0.35"/>
    <row r="171" s="2" customFormat="1" ht="15.75" customHeight="1" x14ac:dyDescent="0.35"/>
    <row r="172" s="2" customFormat="1" ht="15.75" customHeight="1" x14ac:dyDescent="0.35"/>
    <row r="173" s="2" customFormat="1" ht="15.75" customHeight="1" x14ac:dyDescent="0.35"/>
    <row r="174" s="2" customFormat="1" ht="15.75" customHeight="1" x14ac:dyDescent="0.35"/>
    <row r="175" s="2" customFormat="1" ht="15.75" customHeight="1" x14ac:dyDescent="0.35"/>
    <row r="176" s="2" customFormat="1" ht="15.75" customHeight="1" x14ac:dyDescent="0.35"/>
    <row r="177" s="2" customFormat="1" ht="15.75" customHeight="1" x14ac:dyDescent="0.35"/>
    <row r="178" s="2" customFormat="1" ht="15.75" customHeight="1" x14ac:dyDescent="0.35"/>
    <row r="179" s="2" customFormat="1" ht="15.75" customHeight="1" x14ac:dyDescent="0.35"/>
    <row r="180" s="2" customFormat="1" ht="15.75" customHeight="1" x14ac:dyDescent="0.35"/>
    <row r="181" s="2" customFormat="1" ht="15.75" customHeight="1" x14ac:dyDescent="0.35"/>
    <row r="182" s="2" customFormat="1" ht="15.75" customHeight="1" x14ac:dyDescent="0.35"/>
    <row r="183" s="2" customFormat="1" ht="15.75" customHeight="1" x14ac:dyDescent="0.35"/>
    <row r="184" s="2" customFormat="1" ht="15.75" customHeight="1" x14ac:dyDescent="0.35"/>
    <row r="185" s="2" customFormat="1" ht="15.75" customHeight="1" x14ac:dyDescent="0.35"/>
    <row r="186" s="2" customFormat="1" ht="15.75" customHeight="1" x14ac:dyDescent="0.35"/>
    <row r="187" s="2" customFormat="1" ht="15.75" customHeight="1" x14ac:dyDescent="0.35"/>
    <row r="188" s="2" customFormat="1" ht="15.75" customHeight="1" x14ac:dyDescent="0.35"/>
    <row r="189" s="2" customFormat="1" ht="15.75" customHeight="1" x14ac:dyDescent="0.35"/>
    <row r="190" s="2" customFormat="1" ht="15.75" customHeight="1" x14ac:dyDescent="0.35"/>
    <row r="191" s="2" customFormat="1" ht="15.75" customHeight="1" x14ac:dyDescent="0.35"/>
    <row r="192" s="2" customFormat="1" ht="15.75" customHeight="1" x14ac:dyDescent="0.35"/>
    <row r="193" s="2" customFormat="1" ht="15.75" customHeight="1" x14ac:dyDescent="0.35"/>
    <row r="194" s="2" customFormat="1" ht="15.75" customHeight="1" x14ac:dyDescent="0.35"/>
    <row r="195" s="2" customFormat="1" ht="15.75" customHeight="1" x14ac:dyDescent="0.35"/>
    <row r="196" s="2" customFormat="1" ht="15.75" customHeight="1" x14ac:dyDescent="0.35"/>
    <row r="197" s="2" customFormat="1" ht="15.75" customHeight="1" x14ac:dyDescent="0.35"/>
    <row r="198" s="2" customFormat="1" ht="15.75" customHeight="1" x14ac:dyDescent="0.35"/>
    <row r="199" s="2" customFormat="1" ht="15.75" customHeight="1" x14ac:dyDescent="0.35"/>
    <row r="200" s="2" customFormat="1" ht="15.75" customHeight="1" x14ac:dyDescent="0.35"/>
    <row r="201" s="2" customFormat="1" ht="15.75" customHeight="1" x14ac:dyDescent="0.35"/>
    <row r="202" s="2" customFormat="1" ht="15.75" customHeight="1" x14ac:dyDescent="0.35"/>
    <row r="203" s="2" customFormat="1" ht="15.75" customHeight="1" x14ac:dyDescent="0.35"/>
    <row r="204" s="2" customFormat="1" ht="15.75" customHeight="1" x14ac:dyDescent="0.35"/>
    <row r="205" s="2" customFormat="1" ht="15.75" customHeight="1" x14ac:dyDescent="0.35"/>
    <row r="206" s="2" customFormat="1" ht="15.75" customHeight="1" x14ac:dyDescent="0.35"/>
    <row r="207" s="2" customFormat="1" ht="15.75" customHeight="1" x14ac:dyDescent="0.35"/>
    <row r="208" s="2" customFormat="1" ht="15.75" customHeight="1" x14ac:dyDescent="0.35"/>
    <row r="209" s="2" customFormat="1" ht="15.75" customHeight="1" x14ac:dyDescent="0.35"/>
    <row r="210" s="2" customFormat="1" ht="15.75" customHeight="1" x14ac:dyDescent="0.35"/>
    <row r="211" s="2" customFormat="1" ht="15.75" customHeight="1" x14ac:dyDescent="0.35"/>
    <row r="212" s="2" customFormat="1" ht="15.75" customHeight="1" x14ac:dyDescent="0.35"/>
    <row r="213" s="2" customFormat="1" ht="15.75" customHeight="1" x14ac:dyDescent="0.35"/>
    <row r="214" s="2" customFormat="1" ht="15.75" customHeight="1" x14ac:dyDescent="0.35"/>
    <row r="215" s="2" customFormat="1" ht="15.75" customHeight="1" x14ac:dyDescent="0.35"/>
    <row r="216" s="2" customFormat="1" ht="15.75" customHeight="1" x14ac:dyDescent="0.35"/>
    <row r="217" s="2" customFormat="1" ht="15.75" customHeight="1" x14ac:dyDescent="0.35"/>
    <row r="218" s="2" customFormat="1" ht="15.75" customHeight="1" x14ac:dyDescent="0.35"/>
    <row r="219" s="2" customFormat="1" ht="15.75" customHeight="1" x14ac:dyDescent="0.35"/>
    <row r="220" s="2" customFormat="1" ht="15.75" customHeight="1" x14ac:dyDescent="0.35"/>
    <row r="221" s="2" customFormat="1" ht="15.75" customHeight="1" x14ac:dyDescent="0.35"/>
    <row r="222" s="2" customFormat="1" ht="15.75" customHeight="1" x14ac:dyDescent="0.35"/>
    <row r="223" s="2" customFormat="1" ht="15.75" customHeight="1" x14ac:dyDescent="0.35"/>
    <row r="224" s="2" customFormat="1" ht="15.75" customHeight="1" x14ac:dyDescent="0.35"/>
    <row r="225" s="2" customFormat="1" ht="15.75" customHeight="1" x14ac:dyDescent="0.35"/>
    <row r="226" s="2" customFormat="1" ht="15.75" customHeight="1" x14ac:dyDescent="0.35"/>
    <row r="227" s="2" customFormat="1" ht="15.75" customHeight="1" x14ac:dyDescent="0.35"/>
    <row r="228" s="2" customFormat="1" ht="15.75" customHeight="1" x14ac:dyDescent="0.35"/>
    <row r="229" s="2" customFormat="1" ht="15.75" customHeight="1" x14ac:dyDescent="0.35"/>
    <row r="230" s="2" customFormat="1" ht="15.75" customHeight="1" x14ac:dyDescent="0.35"/>
    <row r="231" s="2" customFormat="1" ht="15.75" customHeight="1" x14ac:dyDescent="0.35"/>
    <row r="232" s="2" customFormat="1" ht="15.75" customHeight="1" x14ac:dyDescent="0.35"/>
    <row r="233" s="2" customFormat="1" ht="15.75" customHeight="1" x14ac:dyDescent="0.35"/>
    <row r="234" s="2" customFormat="1" ht="15.75" customHeight="1" x14ac:dyDescent="0.35"/>
    <row r="235" s="2" customFormat="1" ht="15.75" customHeight="1" x14ac:dyDescent="0.35"/>
    <row r="236" s="2" customFormat="1" ht="15.75" customHeight="1" x14ac:dyDescent="0.35"/>
    <row r="237" s="2" customFormat="1" ht="15.75" customHeight="1" x14ac:dyDescent="0.35"/>
    <row r="238" s="2" customFormat="1" ht="15.75" customHeight="1" x14ac:dyDescent="0.35"/>
    <row r="239" s="2" customFormat="1" ht="15.75" customHeight="1" x14ac:dyDescent="0.35"/>
    <row r="240" s="2" customFormat="1" ht="15.75" customHeight="1" x14ac:dyDescent="0.35"/>
    <row r="241" s="2" customFormat="1" ht="15.75" customHeight="1" x14ac:dyDescent="0.35"/>
    <row r="242" s="2" customFormat="1" ht="15.75" customHeight="1" x14ac:dyDescent="0.35"/>
    <row r="243" s="2" customFormat="1" ht="15.75" customHeight="1" x14ac:dyDescent="0.35"/>
    <row r="244" s="2" customFormat="1" ht="15.75" customHeight="1" x14ac:dyDescent="0.35"/>
    <row r="245" s="2" customFormat="1" ht="15.75" customHeight="1" x14ac:dyDescent="0.35"/>
    <row r="246" s="2" customFormat="1" ht="15.75" customHeight="1" x14ac:dyDescent="0.35"/>
    <row r="247" s="2" customFormat="1" ht="15.75" customHeight="1" x14ac:dyDescent="0.35"/>
    <row r="248" s="2" customFormat="1" ht="15.75" customHeight="1" x14ac:dyDescent="0.35"/>
    <row r="249" s="2" customFormat="1" ht="15.75" customHeight="1" x14ac:dyDescent="0.35"/>
    <row r="250" s="2" customFormat="1" ht="15.75" customHeight="1" x14ac:dyDescent="0.35"/>
    <row r="251" s="2" customFormat="1" ht="15.75" customHeight="1" x14ac:dyDescent="0.35"/>
    <row r="252" s="2" customFormat="1" ht="15.75" customHeight="1" x14ac:dyDescent="0.35"/>
    <row r="253" s="2" customFormat="1" ht="15.75" customHeight="1" x14ac:dyDescent="0.35"/>
    <row r="254" s="2" customFormat="1" ht="15.75" customHeight="1" x14ac:dyDescent="0.35"/>
    <row r="255" s="2" customFormat="1" ht="15.75" customHeight="1" x14ac:dyDescent="0.35"/>
    <row r="256" s="2" customFormat="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3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disablePrompts="1"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C60" sqref="C60"/>
    </sheetView>
  </sheetViews>
  <sheetFormatPr defaultColWidth="12.33203125" defaultRowHeight="15" customHeight="1" x14ac:dyDescent="0.35"/>
  <cols>
    <col min="1" max="1" width="1.33203125" style="2" customWidth="1"/>
    <col min="2" max="2" width="26.33203125" style="2" customWidth="1"/>
    <col min="3" max="13" width="24.6640625" style="2" customWidth="1"/>
    <col min="14" max="16384" width="12.33203125" style="2"/>
  </cols>
  <sheetData>
    <row r="1" spans="1:14" ht="8.25" customHeight="1" x14ac:dyDescent="0.35">
      <c r="A1" s="131"/>
      <c r="B1" s="132"/>
      <c r="C1" s="133"/>
      <c r="D1" s="133"/>
      <c r="E1" s="133"/>
      <c r="F1" s="133"/>
    </row>
    <row r="2" spans="1:14" ht="15.75" customHeight="1" x14ac:dyDescent="0.35">
      <c r="A2" s="134"/>
      <c r="B2" s="5" t="s">
        <v>8</v>
      </c>
      <c r="C2" s="135"/>
      <c r="D2" s="136"/>
      <c r="E2" s="137" t="s">
        <v>174</v>
      </c>
      <c r="F2" s="138" t="s">
        <v>177</v>
      </c>
      <c r="G2" s="137" t="s">
        <v>178</v>
      </c>
      <c r="H2" s="139" t="s">
        <v>179</v>
      </c>
      <c r="I2" s="7"/>
      <c r="J2" s="3"/>
      <c r="K2" s="7"/>
      <c r="L2" s="7"/>
      <c r="M2" s="7"/>
    </row>
    <row r="3" spans="1:14" ht="15.75" customHeight="1" x14ac:dyDescent="0.35">
      <c r="A3" s="140"/>
      <c r="B3" s="141" t="s">
        <v>9</v>
      </c>
      <c r="C3" s="142">
        <f>Inputs!C12</f>
        <v>45291</v>
      </c>
      <c r="E3" s="143" t="s">
        <v>175</v>
      </c>
      <c r="F3" s="144" t="str">
        <f>H14</f>
        <v/>
      </c>
      <c r="G3" s="144">
        <f>C14</f>
        <v>178144.33333333334</v>
      </c>
      <c r="H3" s="144">
        <v>6</v>
      </c>
      <c r="I3" s="3"/>
      <c r="J3" s="145"/>
      <c r="K3" s="3"/>
      <c r="L3" s="3"/>
      <c r="M3" s="3"/>
    </row>
    <row r="4" spans="1:14" ht="15.75" customHeight="1" x14ac:dyDescent="0.35">
      <c r="A4" s="140"/>
      <c r="B4" s="141" t="s">
        <v>10</v>
      </c>
      <c r="C4" s="13">
        <f>Inputs!C13</f>
        <v>1000000</v>
      </c>
      <c r="D4" s="2" t="str">
        <f>Dashboard!G6</f>
        <v>CNY</v>
      </c>
      <c r="E4" s="143" t="s">
        <v>176</v>
      </c>
      <c r="F4" s="146" t="e">
        <f>(G3/F3)^(1/H3)-1</f>
        <v>#VALUE!</v>
      </c>
      <c r="J4" s="3"/>
    </row>
    <row r="5" spans="1:14" ht="15.75" customHeight="1" x14ac:dyDescent="0.35">
      <c r="A5" s="134"/>
      <c r="B5" s="76" t="s">
        <v>123</v>
      </c>
      <c r="C5" s="294">
        <f>C3</f>
        <v>45291</v>
      </c>
      <c r="D5" s="295">
        <f>EOMONTH(EDATE(C5,-12),0)</f>
        <v>44926</v>
      </c>
      <c r="E5" s="295">
        <f t="shared" ref="E5:M5" si="0">EOMONTH(EDATE(D5,-12),0)</f>
        <v>44561</v>
      </c>
      <c r="F5" s="295">
        <f t="shared" si="0"/>
        <v>44196</v>
      </c>
      <c r="G5" s="295">
        <f t="shared" si="0"/>
        <v>43830</v>
      </c>
      <c r="H5" s="295">
        <f t="shared" si="0"/>
        <v>43465</v>
      </c>
      <c r="I5" s="295">
        <f t="shared" si="0"/>
        <v>43100</v>
      </c>
      <c r="J5" s="295">
        <f t="shared" si="0"/>
        <v>42735</v>
      </c>
      <c r="K5" s="295">
        <f t="shared" si="0"/>
        <v>42369</v>
      </c>
      <c r="L5" s="295">
        <f t="shared" si="0"/>
        <v>42004</v>
      </c>
      <c r="M5" s="295">
        <f t="shared" si="0"/>
        <v>41639</v>
      </c>
    </row>
    <row r="6" spans="1:14" ht="15.75" customHeight="1" x14ac:dyDescent="0.35">
      <c r="A6" s="140"/>
      <c r="B6" s="269" t="s">
        <v>11</v>
      </c>
      <c r="C6" s="147">
        <f>IF(Inputs!C25=""," ",Inputs!C25)</f>
        <v>277533</v>
      </c>
      <c r="D6" s="147">
        <f>IF(Inputs!D25="","",Inputs!D25)</f>
        <v>271386</v>
      </c>
      <c r="E6" s="147" t="str">
        <f>IF(Inputs!E25="","",Inputs!E25)</f>
        <v/>
      </c>
      <c r="F6" s="147" t="str">
        <f>IF(Inputs!F25="","",Inputs!F25)</f>
        <v/>
      </c>
      <c r="G6" s="147" t="str">
        <f>IF(Inputs!G25="","",Inputs!G25)</f>
        <v/>
      </c>
      <c r="H6" s="147" t="str">
        <f>IF(Inputs!H25="","",Inputs!H25)</f>
        <v/>
      </c>
      <c r="I6" s="147" t="str">
        <f>IF(Inputs!I25="","",Inputs!I25)</f>
        <v/>
      </c>
      <c r="J6" s="147" t="str">
        <f>IF(Inputs!J25="","",Inputs!J25)</f>
        <v/>
      </c>
      <c r="K6" s="147" t="str">
        <f>IF(Inputs!K25="","",Inputs!K25)</f>
        <v/>
      </c>
      <c r="L6" s="147" t="str">
        <f>IF(Inputs!L25="","",Inputs!L25)</f>
        <v/>
      </c>
      <c r="M6" s="147" t="str">
        <f>IF(Inputs!M25="","",Inputs!M25)</f>
        <v/>
      </c>
      <c r="N6" s="3"/>
    </row>
    <row r="7" spans="1:14" ht="15.75" customHeight="1" x14ac:dyDescent="0.35">
      <c r="A7" s="140"/>
      <c r="B7" s="286" t="s">
        <v>12</v>
      </c>
      <c r="C7" s="148">
        <f t="shared" ref="C7:M7" si="1">IF(D6="","",C6/D6-1)</f>
        <v>2.2650394640843619E-2</v>
      </c>
      <c r="D7" s="148" t="str">
        <f t="shared" si="1"/>
        <v/>
      </c>
      <c r="E7" s="148" t="str">
        <f t="shared" si="1"/>
        <v/>
      </c>
      <c r="F7" s="148" t="str">
        <f t="shared" si="1"/>
        <v/>
      </c>
      <c r="G7" s="148" t="str">
        <f t="shared" si="1"/>
        <v/>
      </c>
      <c r="H7" s="148" t="str">
        <f t="shared" si="1"/>
        <v/>
      </c>
      <c r="I7" s="148" t="str">
        <f t="shared" si="1"/>
        <v/>
      </c>
      <c r="J7" s="148" t="str">
        <f t="shared" si="1"/>
        <v/>
      </c>
      <c r="K7" s="148" t="str">
        <f t="shared" si="1"/>
        <v/>
      </c>
      <c r="L7" s="148" t="str">
        <f t="shared" si="1"/>
        <v/>
      </c>
      <c r="M7" s="148" t="str">
        <f t="shared" si="1"/>
        <v/>
      </c>
      <c r="N7" s="3"/>
    </row>
    <row r="8" spans="1:14" ht="15.75" customHeight="1" x14ac:dyDescent="0.35">
      <c r="A8" s="140"/>
      <c r="B8" s="270" t="s">
        <v>97</v>
      </c>
      <c r="C8" s="149">
        <f>IF(Inputs!C26="","",Inputs!C26)</f>
        <v>55101</v>
      </c>
      <c r="D8" s="149">
        <f>IF(Inputs!D26="","",Inputs!D26)</f>
        <v>53933</v>
      </c>
      <c r="E8" s="149" t="str">
        <f>IF(Inputs!E26="","",Inputs!E26)</f>
        <v/>
      </c>
      <c r="F8" s="149" t="str">
        <f>IF(Inputs!F26="","",Inputs!F26)</f>
        <v/>
      </c>
      <c r="G8" s="149" t="str">
        <f>IF(Inputs!G26="","",Inputs!G26)</f>
        <v/>
      </c>
      <c r="H8" s="149" t="str">
        <f>IF(Inputs!H26="","",Inputs!H26)</f>
        <v/>
      </c>
      <c r="I8" s="149" t="str">
        <f>IF(Inputs!I26="","",Inputs!I26)</f>
        <v/>
      </c>
      <c r="J8" s="149" t="str">
        <f>IF(Inputs!J26="","",Inputs!J26)</f>
        <v/>
      </c>
      <c r="K8" s="149" t="str">
        <f>IF(Inputs!K26="","",Inputs!K26)</f>
        <v/>
      </c>
      <c r="L8" s="149" t="str">
        <f>IF(Inputs!L26="","",Inputs!L26)</f>
        <v/>
      </c>
      <c r="M8" s="149" t="str">
        <f>IF(Inputs!M26="","",Inputs!M26)</f>
        <v/>
      </c>
      <c r="N8" s="3"/>
    </row>
    <row r="9" spans="1:14" ht="15.75" customHeight="1" x14ac:dyDescent="0.35">
      <c r="A9" s="140"/>
      <c r="B9" s="278" t="s">
        <v>94</v>
      </c>
      <c r="C9" s="279">
        <f t="shared" ref="C9:M9" si="2">IF(C6="","",(C6-C8))</f>
        <v>222432</v>
      </c>
      <c r="D9" s="279">
        <f t="shared" si="2"/>
        <v>217453</v>
      </c>
      <c r="E9" s="279" t="str">
        <f t="shared" si="2"/>
        <v/>
      </c>
      <c r="F9" s="279" t="str">
        <f t="shared" si="2"/>
        <v/>
      </c>
      <c r="G9" s="279" t="str">
        <f t="shared" si="2"/>
        <v/>
      </c>
      <c r="H9" s="279" t="str">
        <f t="shared" si="2"/>
        <v/>
      </c>
      <c r="I9" s="279" t="str">
        <f t="shared" si="2"/>
        <v/>
      </c>
      <c r="J9" s="279" t="str">
        <f t="shared" si="2"/>
        <v/>
      </c>
      <c r="K9" s="279" t="str">
        <f t="shared" si="2"/>
        <v/>
      </c>
      <c r="L9" s="279" t="str">
        <f t="shared" si="2"/>
        <v/>
      </c>
      <c r="M9" s="279" t="str">
        <f t="shared" si="2"/>
        <v/>
      </c>
      <c r="N9" s="3"/>
    </row>
    <row r="10" spans="1:14" ht="15.75" customHeight="1" x14ac:dyDescent="0.35">
      <c r="A10" s="140"/>
      <c r="B10" s="270" t="s">
        <v>95</v>
      </c>
      <c r="C10" s="149">
        <f>IF(Inputs!C27="","",Inputs!C27)</f>
        <v>43909</v>
      </c>
      <c r="D10" s="149">
        <f>IF(Inputs!D27="","",Inputs!D27)</f>
        <v>45277</v>
      </c>
      <c r="E10" s="149" t="str">
        <f>IF(Inputs!E27="","",Inputs!E27)</f>
        <v/>
      </c>
      <c r="F10" s="149" t="str">
        <f>IF(Inputs!F27="","",Inputs!F27)</f>
        <v/>
      </c>
      <c r="G10" s="149" t="str">
        <f>IF(Inputs!G27="","",Inputs!G27)</f>
        <v/>
      </c>
      <c r="H10" s="149" t="str">
        <f>IF(Inputs!H27="","",Inputs!H27)</f>
        <v/>
      </c>
      <c r="I10" s="149" t="str">
        <f>IF(Inputs!I27="","",Inputs!I27)</f>
        <v/>
      </c>
      <c r="J10" s="149" t="str">
        <f>IF(Inputs!J27="","",Inputs!J27)</f>
        <v/>
      </c>
      <c r="K10" s="149" t="str">
        <f>IF(Inputs!K27="","",Inputs!K27)</f>
        <v/>
      </c>
      <c r="L10" s="149" t="str">
        <f>IF(Inputs!L27="","",Inputs!L27)</f>
        <v/>
      </c>
      <c r="M10" s="149" t="str">
        <f>IF(Inputs!M27="","",Inputs!M27)</f>
        <v/>
      </c>
      <c r="N10" s="3"/>
    </row>
    <row r="11" spans="1:14" ht="15.75" customHeight="1" x14ac:dyDescent="0.35">
      <c r="A11" s="140"/>
      <c r="B11" s="270" t="s">
        <v>98</v>
      </c>
      <c r="C11" s="149" t="str">
        <f>IF(Inputs!C28="","",Inputs!C28)</f>
        <v/>
      </c>
      <c r="D11" s="149" t="str">
        <f>IF(Inputs!D28="","",Inputs!D28)</f>
        <v/>
      </c>
      <c r="E11" s="149" t="str">
        <f>IF(Inputs!E28="","",Inputs!E28)</f>
        <v/>
      </c>
      <c r="F11" s="149" t="str">
        <f>IF(Inputs!F28="","",Inputs!F28)</f>
        <v/>
      </c>
      <c r="G11" s="149" t="str">
        <f>IF(Inputs!G28="","",Inputs!G28)</f>
        <v/>
      </c>
      <c r="H11" s="149" t="str">
        <f>IF(Inputs!H28="","",Inputs!H28)</f>
        <v/>
      </c>
      <c r="I11" s="149" t="str">
        <f>IF(Inputs!I28="","",Inputs!I28)</f>
        <v/>
      </c>
      <c r="J11" s="149" t="str">
        <f>IF(Inputs!J28="","",Inputs!J28)</f>
        <v/>
      </c>
      <c r="K11" s="149" t="str">
        <f>IF(Inputs!K28="","",Inputs!K28)</f>
        <v/>
      </c>
      <c r="L11" s="149" t="str">
        <f>IF(Inputs!L28="","",Inputs!L28)</f>
        <v/>
      </c>
      <c r="M11" s="149" t="str">
        <f>IF(Inputs!M28="","",Inputs!M28)</f>
        <v/>
      </c>
      <c r="N11" s="3"/>
    </row>
    <row r="12" spans="1:14" ht="15.75" customHeight="1" x14ac:dyDescent="0.35">
      <c r="A12" s="140"/>
      <c r="B12" s="272" t="s">
        <v>213</v>
      </c>
      <c r="C12" s="149">
        <f>IF(Inputs!C30="","",MAX(Inputs!C30,0)/(1-Fin_Analysis!$I$84))</f>
        <v>378.66666666666669</v>
      </c>
      <c r="D12" s="149">
        <f>IF(Inputs!D30="","",MAX(Inputs!D30,0)/(1-Fin_Analysis!$I$84))</f>
        <v>310.66666666666669</v>
      </c>
      <c r="E12" s="149" t="str">
        <f>IF(Inputs!E30="","",MAX(Inputs!E30,0)/(1-Fin_Analysis!$I$84))</f>
        <v/>
      </c>
      <c r="F12" s="149" t="str">
        <f>IF(Inputs!F30="","",MAX(Inputs!F30,0)/(1-Fin_Analysis!$I$84))</f>
        <v/>
      </c>
      <c r="G12" s="149" t="str">
        <f>IF(Inputs!G30="","",MAX(Inputs!G30,0)/(1-Fin_Analysis!$I$84))</f>
        <v/>
      </c>
      <c r="H12" s="149" t="str">
        <f>IF(Inputs!H30="","",MAX(Inputs!H30,0)/(1-Fin_Analysis!$I$84))</f>
        <v/>
      </c>
      <c r="I12" s="149" t="str">
        <f>IF(Inputs!I30="","",MAX(Inputs!I30,0)/(1-Fin_Analysis!$I$84))</f>
        <v/>
      </c>
      <c r="J12" s="149" t="str">
        <f>IF(Inputs!J30="","",MAX(Inputs!J30,0)/(1-Fin_Analysis!$I$84))</f>
        <v/>
      </c>
      <c r="K12" s="149" t="str">
        <f>IF(Inputs!K30="","",MAX(Inputs!K30,0)/(1-Fin_Analysis!$I$84))</f>
        <v/>
      </c>
      <c r="L12" s="149" t="str">
        <f>IF(Inputs!L30="","",MAX(Inputs!L30,0)/(1-Fin_Analysis!$I$84))</f>
        <v/>
      </c>
      <c r="M12" s="149" t="str">
        <f>IF(Inputs!M30="","",MAX(Inputs!M30,0)/(1-Fin_Analysis!$I$84))</f>
        <v/>
      </c>
      <c r="N12" s="3"/>
    </row>
    <row r="13" spans="1:14" ht="15.75" customHeight="1" x14ac:dyDescent="0.35">
      <c r="A13" s="140"/>
      <c r="B13" s="299" t="s">
        <v>214</v>
      </c>
      <c r="C13" s="300">
        <f t="shared" ref="C13:M13" si="3">IF(C14="","",C14/C6)</f>
        <v>0.64188522926402747</v>
      </c>
      <c r="D13" s="300">
        <f t="shared" si="3"/>
        <v>0.63328739630391151</v>
      </c>
      <c r="E13" s="300" t="str">
        <f t="shared" si="3"/>
        <v/>
      </c>
      <c r="F13" s="300" t="str">
        <f t="shared" si="3"/>
        <v/>
      </c>
      <c r="G13" s="300" t="str">
        <f t="shared" si="3"/>
        <v/>
      </c>
      <c r="H13" s="300" t="str">
        <f t="shared" si="3"/>
        <v/>
      </c>
      <c r="I13" s="300" t="str">
        <f t="shared" si="3"/>
        <v/>
      </c>
      <c r="J13" s="300" t="str">
        <f t="shared" si="3"/>
        <v/>
      </c>
      <c r="K13" s="300" t="str">
        <f t="shared" si="3"/>
        <v/>
      </c>
      <c r="L13" s="300" t="str">
        <f t="shared" si="3"/>
        <v/>
      </c>
      <c r="M13" s="300" t="str">
        <f t="shared" si="3"/>
        <v/>
      </c>
      <c r="N13" s="3"/>
    </row>
    <row r="14" spans="1:14" ht="15.75" customHeight="1" x14ac:dyDescent="0.35">
      <c r="A14" s="140"/>
      <c r="B14" s="301" t="s">
        <v>206</v>
      </c>
      <c r="C14" s="302">
        <f>IF(C6="","",C9-C10-MAX(C11,0)-MAX(C12,0))</f>
        <v>178144.33333333334</v>
      </c>
      <c r="D14" s="302">
        <f t="shared" ref="D14:M14" si="4">IF(D6="","",D9-D10-MAX(D11,0)-MAX(D12,0))</f>
        <v>171865.33333333334</v>
      </c>
      <c r="E14" s="302" t="str">
        <f t="shared" si="4"/>
        <v/>
      </c>
      <c r="F14" s="302" t="str">
        <f t="shared" si="4"/>
        <v/>
      </c>
      <c r="G14" s="302" t="str">
        <f t="shared" si="4"/>
        <v/>
      </c>
      <c r="H14" s="302" t="str">
        <f t="shared" si="4"/>
        <v/>
      </c>
      <c r="I14" s="302" t="str">
        <f t="shared" si="4"/>
        <v/>
      </c>
      <c r="J14" s="302" t="str">
        <f t="shared" si="4"/>
        <v/>
      </c>
      <c r="K14" s="302" t="str">
        <f t="shared" si="4"/>
        <v/>
      </c>
      <c r="L14" s="302" t="str">
        <f t="shared" si="4"/>
        <v/>
      </c>
      <c r="M14" s="302" t="str">
        <f t="shared" si="4"/>
        <v/>
      </c>
      <c r="N14" s="3"/>
    </row>
    <row r="15" spans="1:14" ht="15.75" customHeight="1" x14ac:dyDescent="0.35">
      <c r="A15" s="140"/>
      <c r="B15" s="303" t="s">
        <v>215</v>
      </c>
      <c r="C15" s="304">
        <f>IF(D14="","",IF(ABS(C14+D14)=ABS(C14)+ABS(D14),IF(C14&lt;0,-1,1)*(C14-D14)/D14,"Turn"))</f>
        <v>3.6534418420623896E-2</v>
      </c>
      <c r="D15" s="304" t="str">
        <f t="shared" ref="D15:M15" si="5">IF(E14="","",IF(ABS(D14+E14)=ABS(D14)+ABS(E14),IF(D14&lt;0,-1,1)*(D14-E14)/E14,"Turn"))</f>
        <v/>
      </c>
      <c r="E15" s="304" t="str">
        <f t="shared" si="5"/>
        <v/>
      </c>
      <c r="F15" s="304" t="str">
        <f t="shared" si="5"/>
        <v/>
      </c>
      <c r="G15" s="304" t="str">
        <f t="shared" si="5"/>
        <v/>
      </c>
      <c r="H15" s="304" t="str">
        <f t="shared" si="5"/>
        <v/>
      </c>
      <c r="I15" s="304" t="str">
        <f t="shared" si="5"/>
        <v/>
      </c>
      <c r="J15" s="304" t="str">
        <f t="shared" si="5"/>
        <v/>
      </c>
      <c r="K15" s="304" t="str">
        <f t="shared" si="5"/>
        <v/>
      </c>
      <c r="L15" s="304" t="str">
        <f t="shared" si="5"/>
        <v/>
      </c>
      <c r="M15" s="304" t="str">
        <f t="shared" si="5"/>
        <v/>
      </c>
      <c r="N15" s="3"/>
    </row>
    <row r="16" spans="1:14" ht="15.75" customHeight="1" x14ac:dyDescent="0.35">
      <c r="A16" s="140"/>
      <c r="B16" s="270" t="s">
        <v>101</v>
      </c>
      <c r="C16" s="149" t="str">
        <f>IF(Inputs!C31="","",Inputs!C31)</f>
        <v/>
      </c>
      <c r="D16" s="149" t="str">
        <f>IF(Inputs!D31="","",Inputs!D31)</f>
        <v/>
      </c>
      <c r="E16" s="149" t="str">
        <f>IF(Inputs!E31="","",Inputs!E31)</f>
        <v/>
      </c>
      <c r="F16" s="149" t="str">
        <f>IF(Inputs!F31="","",Inputs!F31)</f>
        <v/>
      </c>
      <c r="G16" s="149" t="str">
        <f>IF(Inputs!G31="","",Inputs!G31)</f>
        <v/>
      </c>
      <c r="H16" s="149" t="str">
        <f>IF(Inputs!H31="","",Inputs!H31)</f>
        <v/>
      </c>
      <c r="I16" s="149" t="str">
        <f>IF(Inputs!I31="","",Inputs!I31)</f>
        <v/>
      </c>
      <c r="J16" s="149" t="str">
        <f>IF(Inputs!J31="","",Inputs!J31)</f>
        <v/>
      </c>
      <c r="K16" s="149" t="str">
        <f>IF(Inputs!K31="","",Inputs!K31)</f>
        <v/>
      </c>
      <c r="L16" s="149" t="str">
        <f>IF(Inputs!L31="","",Inputs!L31)</f>
        <v/>
      </c>
      <c r="M16" s="149" t="str">
        <f>IF(Inputs!M31="","",Inputs!M31)</f>
        <v/>
      </c>
      <c r="N16" s="3"/>
    </row>
    <row r="17" spans="1:14" ht="15.75" customHeight="1" x14ac:dyDescent="0.35">
      <c r="A17" s="140"/>
      <c r="B17" s="270" t="s">
        <v>223</v>
      </c>
      <c r="C17" s="149">
        <f>IF(Inputs!C29="","",Inputs!C29)</f>
        <v>143329</v>
      </c>
      <c r="D17" s="149">
        <f>IF(Inputs!D29="","",Inputs!D29)</f>
        <v>127654</v>
      </c>
      <c r="E17" s="149" t="str">
        <f>IF(Inputs!E29="","",Inputs!E29)</f>
        <v/>
      </c>
      <c r="F17" s="149" t="str">
        <f>IF(Inputs!F29="","",Inputs!F29)</f>
        <v/>
      </c>
      <c r="G17" s="149" t="str">
        <f>IF(Inputs!G29="","",Inputs!G29)</f>
        <v/>
      </c>
      <c r="H17" s="149" t="str">
        <f>IF(Inputs!H29="","",Inputs!H29)</f>
        <v/>
      </c>
      <c r="I17" s="149" t="str">
        <f>IF(Inputs!I29="","",Inputs!I29)</f>
        <v/>
      </c>
      <c r="J17" s="149" t="str">
        <f>IF(Inputs!J29="","",Inputs!J29)</f>
        <v/>
      </c>
      <c r="K17" s="149" t="str">
        <f>IF(Inputs!K29="","",Inputs!K29)</f>
        <v/>
      </c>
      <c r="L17" s="149" t="str">
        <f>IF(Inputs!L29="","",Inputs!L29)</f>
        <v/>
      </c>
      <c r="M17" s="149" t="str">
        <f>IF(Inputs!M29="","",Inputs!M29)</f>
        <v/>
      </c>
      <c r="N17" s="3"/>
    </row>
    <row r="18" spans="1:14" ht="15.75" customHeight="1" x14ac:dyDescent="0.35">
      <c r="A18" s="140"/>
      <c r="B18" s="286" t="s">
        <v>90</v>
      </c>
      <c r="C18" s="233" t="str">
        <f t="shared" ref="C18:M18" si="6">IF(OR(C6="",C19=""),"",C19/C6)</f>
        <v/>
      </c>
      <c r="D18" s="233" t="str">
        <f t="shared" si="6"/>
        <v/>
      </c>
      <c r="E18" s="233" t="str">
        <f t="shared" si="6"/>
        <v/>
      </c>
      <c r="F18" s="233" t="str">
        <f t="shared" si="6"/>
        <v/>
      </c>
      <c r="G18" s="233" t="str">
        <f t="shared" si="6"/>
        <v/>
      </c>
      <c r="H18" s="233" t="str">
        <f t="shared" si="6"/>
        <v/>
      </c>
      <c r="I18" s="233" t="str">
        <f t="shared" si="6"/>
        <v/>
      </c>
      <c r="J18" s="233" t="str">
        <f t="shared" si="6"/>
        <v/>
      </c>
      <c r="K18" s="233" t="str">
        <f t="shared" si="6"/>
        <v/>
      </c>
      <c r="L18" s="233" t="str">
        <f t="shared" si="6"/>
        <v/>
      </c>
      <c r="M18" s="233" t="str">
        <f t="shared" si="6"/>
        <v/>
      </c>
      <c r="N18" s="3"/>
    </row>
    <row r="19" spans="1:14" ht="15.75" customHeight="1" x14ac:dyDescent="0.35">
      <c r="A19" s="140"/>
      <c r="B19" s="270" t="s">
        <v>96</v>
      </c>
      <c r="C19" s="149" t="str">
        <f>IF(Inputs!C32="","",Inputs!C32)</f>
        <v/>
      </c>
      <c r="D19" s="149" t="str">
        <f>IF(Inputs!D32="","",Inputs!D32)</f>
        <v/>
      </c>
      <c r="E19" s="149" t="str">
        <f>IF(Inputs!E32="","",Inputs!E32)</f>
        <v/>
      </c>
      <c r="F19" s="149" t="str">
        <f>IF(Inputs!F32="","",Inputs!F32)</f>
        <v/>
      </c>
      <c r="G19" s="149" t="str">
        <f>IF(Inputs!G32="","",Inputs!G32)</f>
        <v/>
      </c>
      <c r="H19" s="149" t="str">
        <f>IF(Inputs!H32="","",Inputs!H32)</f>
        <v/>
      </c>
      <c r="I19" s="149" t="str">
        <f>IF(Inputs!I32="","",Inputs!I32)</f>
        <v/>
      </c>
      <c r="J19" s="149" t="str">
        <f>IF(Inputs!J32="","",Inputs!J32)</f>
        <v/>
      </c>
      <c r="K19" s="149" t="str">
        <f>IF(Inputs!K32="","",Inputs!K32)</f>
        <v/>
      </c>
      <c r="L19" s="149" t="str">
        <f>IF(Inputs!L32="","",Inputs!L32)</f>
        <v/>
      </c>
      <c r="M19" s="149" t="str">
        <f>IF(Inputs!M32="","",Inputs!M32)</f>
        <v/>
      </c>
      <c r="N19" s="3"/>
    </row>
    <row r="20" spans="1:14" ht="15.75" customHeight="1" x14ac:dyDescent="0.35">
      <c r="A20" s="140"/>
      <c r="B20" s="287" t="s">
        <v>208</v>
      </c>
      <c r="C20" s="233">
        <f t="shared" ref="C20:M20" si="7">IF(C6="","",MAX(C21,0)/C6)</f>
        <v>0</v>
      </c>
      <c r="D20" s="233">
        <f t="shared" si="7"/>
        <v>0</v>
      </c>
      <c r="E20" s="233" t="str">
        <f t="shared" si="7"/>
        <v/>
      </c>
      <c r="F20" s="233" t="str">
        <f t="shared" si="7"/>
        <v/>
      </c>
      <c r="G20" s="233" t="str">
        <f t="shared" si="7"/>
        <v/>
      </c>
      <c r="H20" s="233" t="str">
        <f t="shared" si="7"/>
        <v/>
      </c>
      <c r="I20" s="233" t="str">
        <f t="shared" si="7"/>
        <v/>
      </c>
      <c r="J20" s="233" t="str">
        <f t="shared" si="7"/>
        <v/>
      </c>
      <c r="K20" s="233" t="str">
        <f t="shared" si="7"/>
        <v/>
      </c>
      <c r="L20" s="233" t="str">
        <f t="shared" si="7"/>
        <v/>
      </c>
      <c r="M20" s="233" t="str">
        <f t="shared" si="7"/>
        <v/>
      </c>
      <c r="N20" s="3"/>
    </row>
    <row r="21" spans="1:14" ht="15.75" customHeight="1" x14ac:dyDescent="0.35">
      <c r="A21" s="140"/>
      <c r="B21" s="270" t="s">
        <v>99</v>
      </c>
      <c r="C21" s="149" t="str">
        <f>IF(Inputs!C33="","",Inputs!C33)</f>
        <v/>
      </c>
      <c r="D21" s="149" t="str">
        <f>IF(Inputs!D33="","",Inputs!D33)</f>
        <v/>
      </c>
      <c r="E21" s="149" t="str">
        <f>IF(Inputs!E33="","",Inputs!E33)</f>
        <v/>
      </c>
      <c r="F21" s="149" t="str">
        <f>IF(Inputs!F33="","",Inputs!F33)</f>
        <v/>
      </c>
      <c r="G21" s="149" t="str">
        <f>IF(Inputs!G33="","",Inputs!G33)</f>
        <v/>
      </c>
      <c r="H21" s="149" t="str">
        <f>IF(Inputs!H33="","",Inputs!H33)</f>
        <v/>
      </c>
      <c r="I21" s="149" t="str">
        <f>IF(Inputs!I33="","",Inputs!I33)</f>
        <v/>
      </c>
      <c r="J21" s="149" t="str">
        <f>IF(Inputs!J33="","",Inputs!J33)</f>
        <v/>
      </c>
      <c r="K21" s="149" t="str">
        <f>IF(Inputs!K33="","",Inputs!K33)</f>
        <v/>
      </c>
      <c r="L21" s="149" t="str">
        <f>IF(Inputs!L33="","",Inputs!L33)</f>
        <v/>
      </c>
      <c r="M21" s="149" t="str">
        <f>IF(Inputs!M33="","",Inputs!M33)</f>
        <v/>
      </c>
      <c r="N21" s="3"/>
    </row>
    <row r="22" spans="1:14" ht="15.75" customHeight="1" x14ac:dyDescent="0.35">
      <c r="A22" s="140"/>
      <c r="B22" s="278" t="s">
        <v>103</v>
      </c>
      <c r="C22" s="283">
        <f>IF(C6="","",C14-MAX(C16,0)-MAX(C17,0)-ABS(MAX(C21,0)-MAX(C19,0)))</f>
        <v>34815.333333333343</v>
      </c>
      <c r="D22" s="283">
        <f t="shared" ref="D22:M22" si="8">IF(D6="","",D14-MAX(D16,0)-MAX(D17,0)-ABS(MAX(D21,0)-MAX(D19,0)))</f>
        <v>44211.333333333343</v>
      </c>
      <c r="E22" s="283" t="str">
        <f t="shared" si="8"/>
        <v/>
      </c>
      <c r="F22" s="283" t="str">
        <f t="shared" si="8"/>
        <v/>
      </c>
      <c r="G22" s="283" t="str">
        <f t="shared" si="8"/>
        <v/>
      </c>
      <c r="H22" s="283" t="str">
        <f t="shared" si="8"/>
        <v/>
      </c>
      <c r="I22" s="283" t="str">
        <f t="shared" si="8"/>
        <v/>
      </c>
      <c r="J22" s="283" t="str">
        <f t="shared" si="8"/>
        <v/>
      </c>
      <c r="K22" s="283" t="str">
        <f t="shared" si="8"/>
        <v/>
      </c>
      <c r="L22" s="283" t="str">
        <f t="shared" si="8"/>
        <v/>
      </c>
      <c r="M22" s="283" t="str">
        <f t="shared" si="8"/>
        <v/>
      </c>
      <c r="N22" s="3"/>
    </row>
    <row r="23" spans="1:14" ht="15.75" customHeight="1" x14ac:dyDescent="0.35">
      <c r="A23" s="140"/>
      <c r="B23" s="284" t="s">
        <v>104</v>
      </c>
      <c r="C23" s="148">
        <f t="shared" ref="C23:M23" si="9">IF(C6="","",C24/C6)</f>
        <v>9.408430709140897E-2</v>
      </c>
      <c r="D23" s="148">
        <f t="shared" si="9"/>
        <v>0.12218205802804864</v>
      </c>
      <c r="E23" s="148" t="str">
        <f t="shared" si="9"/>
        <v/>
      </c>
      <c r="F23" s="148" t="str">
        <f t="shared" si="9"/>
        <v/>
      </c>
      <c r="G23" s="148" t="str">
        <f t="shared" si="9"/>
        <v/>
      </c>
      <c r="H23" s="148" t="str">
        <f t="shared" si="9"/>
        <v/>
      </c>
      <c r="I23" s="148" t="str">
        <f t="shared" si="9"/>
        <v/>
      </c>
      <c r="J23" s="148" t="str">
        <f t="shared" si="9"/>
        <v/>
      </c>
      <c r="K23" s="148" t="str">
        <f t="shared" si="9"/>
        <v/>
      </c>
      <c r="L23" s="148" t="str">
        <f t="shared" si="9"/>
        <v/>
      </c>
      <c r="M23" s="148" t="str">
        <f t="shared" si="9"/>
        <v/>
      </c>
      <c r="N23" s="3"/>
    </row>
    <row r="24" spans="1:14" ht="15.75" customHeight="1" x14ac:dyDescent="0.35">
      <c r="A24" s="140"/>
      <c r="B24" s="280" t="s">
        <v>105</v>
      </c>
      <c r="C24" s="281">
        <f>IF(C6="","",C22*(1-Fin_Analysis!$I$84))</f>
        <v>26111.500000000007</v>
      </c>
      <c r="D24" s="282">
        <f>IF(D6="","",D22*(1-Fin_Analysis!$I$84))</f>
        <v>33158.500000000007</v>
      </c>
      <c r="E24" s="282" t="str">
        <f>IF(E6="","",E22*(1-Fin_Analysis!$I$84))</f>
        <v/>
      </c>
      <c r="F24" s="282" t="str">
        <f>IF(F6="","",F22*(1-Fin_Analysis!$I$84))</f>
        <v/>
      </c>
      <c r="G24" s="282" t="str">
        <f>IF(G6="","",G22*(1-Fin_Analysis!$I$84))</f>
        <v/>
      </c>
      <c r="H24" s="282" t="str">
        <f>IF(H6="","",H22*(1-Fin_Analysis!$I$84))</f>
        <v/>
      </c>
      <c r="I24" s="282" t="str">
        <f>IF(I6="","",I22*(1-Fin_Analysis!$I$84))</f>
        <v/>
      </c>
      <c r="J24" s="282" t="str">
        <f>IF(J6="","",J22*(1-Fin_Analysis!$I$84))</f>
        <v/>
      </c>
      <c r="K24" s="282" t="str">
        <f>IF(K6="","",K22*(1-Fin_Analysis!$I$84))</f>
        <v/>
      </c>
      <c r="L24" s="282" t="str">
        <f>IF(L6="","",L22*(1-Fin_Analysis!$I$84))</f>
        <v/>
      </c>
      <c r="M24" s="282" t="str">
        <f>IF(M6="","",M22*(1-Fin_Analysis!$I$84))</f>
        <v/>
      </c>
      <c r="N24" s="3"/>
    </row>
    <row r="25" spans="1:14" ht="15.75" customHeight="1" thickBot="1" x14ac:dyDescent="0.4">
      <c r="A25" s="140"/>
      <c r="B25" s="285" t="s">
        <v>118</v>
      </c>
      <c r="C25" s="152">
        <f>IF(D24="","",IF(ABS(C24+D24)=ABS(C24)+ABS(D24),IF(C24&lt;0,-1,1)*(C24-D24)/D24,"Turn"))</f>
        <v>-0.21252469200959026</v>
      </c>
      <c r="D25" s="152" t="str">
        <f t="shared" ref="D25:M25" si="10">IF(E24="","",IF(ABS(D24+E24)=ABS(D24)+ABS(E24),IF(D24&lt;0,-1,1)*(D24-E24)/E24,"Turn"))</f>
        <v/>
      </c>
      <c r="E25" s="152" t="str">
        <f t="shared" si="10"/>
        <v/>
      </c>
      <c r="F25" s="152" t="str">
        <f t="shared" si="10"/>
        <v/>
      </c>
      <c r="G25" s="152" t="str">
        <f t="shared" si="10"/>
        <v/>
      </c>
      <c r="H25" s="152" t="str">
        <f t="shared" si="10"/>
        <v/>
      </c>
      <c r="I25" s="152" t="str">
        <f t="shared" si="10"/>
        <v/>
      </c>
      <c r="J25" s="152" t="str">
        <f t="shared" si="10"/>
        <v/>
      </c>
      <c r="K25" s="152" t="str">
        <f t="shared" si="10"/>
        <v/>
      </c>
      <c r="L25" s="152" t="str">
        <f t="shared" si="10"/>
        <v/>
      </c>
      <c r="M25" s="152" t="str">
        <f t="shared" si="10"/>
        <v/>
      </c>
      <c r="N25" s="3"/>
    </row>
    <row r="26" spans="1:14" ht="15.75" customHeight="1" thickTop="1" x14ac:dyDescent="0.35">
      <c r="A26" s="134"/>
      <c r="B26" s="271" t="s">
        <v>124</v>
      </c>
      <c r="C26" s="77">
        <f>Fin_Analysis!D9</f>
        <v>45473</v>
      </c>
      <c r="D26" s="78">
        <f>D5</f>
        <v>44926</v>
      </c>
      <c r="E26" s="78">
        <f t="shared" ref="E26" si="11">EOMONTH(EDATE(D26,-12),0)</f>
        <v>44561</v>
      </c>
      <c r="F26" s="78">
        <f t="shared" ref="F26" si="12">EOMONTH(EDATE(E26,-12),0)</f>
        <v>44196</v>
      </c>
      <c r="G26" s="78">
        <f t="shared" ref="G26" si="13">EOMONTH(EDATE(F26,-12),0)</f>
        <v>43830</v>
      </c>
      <c r="H26" s="78">
        <f t="shared" ref="H26" si="14">EOMONTH(EDATE(G26,-12),0)</f>
        <v>43465</v>
      </c>
      <c r="I26" s="78">
        <f t="shared" ref="I26" si="15">EOMONTH(EDATE(H26,-12),0)</f>
        <v>43100</v>
      </c>
      <c r="J26" s="78">
        <f t="shared" ref="J26" si="16">EOMONTH(EDATE(I26,-12),0)</f>
        <v>42735</v>
      </c>
      <c r="K26" s="78">
        <f t="shared" ref="K26" si="17">EOMONTH(EDATE(J26,-12),0)</f>
        <v>42369</v>
      </c>
      <c r="L26" s="78">
        <f t="shared" ref="L26" si="18">EOMONTH(EDATE(K26,-12),0)</f>
        <v>42004</v>
      </c>
      <c r="M26" s="78">
        <f t="shared" ref="M26" si="19">EOMONTH(EDATE(L26,-12),0)</f>
        <v>41639</v>
      </c>
      <c r="N26" s="3"/>
    </row>
    <row r="27" spans="1:14" ht="15.75" customHeight="1" x14ac:dyDescent="0.35">
      <c r="A27" s="140"/>
      <c r="B27" s="269" t="s">
        <v>13</v>
      </c>
      <c r="C27" s="153">
        <f>IF(C34="","",C34+C30)</f>
        <v>6796694</v>
      </c>
      <c r="D27" s="153">
        <f>IF(D34="","",D34+D30)</f>
        <v>6300510</v>
      </c>
      <c r="E27" s="153" t="e">
        <f t="shared" ref="E27:M27" si="20">IF(E34="","",E34+E30)</f>
        <v>#VALUE!</v>
      </c>
      <c r="F27" s="153">
        <f t="shared" si="20"/>
        <v>5368163</v>
      </c>
      <c r="G27" s="153" t="str">
        <f t="shared" si="20"/>
        <v/>
      </c>
      <c r="H27" s="153" t="str">
        <f t="shared" si="20"/>
        <v/>
      </c>
      <c r="I27" s="153" t="str">
        <f t="shared" si="20"/>
        <v/>
      </c>
      <c r="J27" s="153" t="str">
        <f t="shared" si="20"/>
        <v/>
      </c>
      <c r="K27" s="153" t="str">
        <f t="shared" si="20"/>
        <v/>
      </c>
      <c r="L27" s="153" t="str">
        <f t="shared" si="20"/>
        <v/>
      </c>
      <c r="M27" s="153" t="str">
        <f t="shared" si="20"/>
        <v/>
      </c>
      <c r="N27" s="3"/>
    </row>
    <row r="28" spans="1:14" ht="15.75" customHeight="1" x14ac:dyDescent="0.35">
      <c r="A28" s="140"/>
      <c r="B28" s="269" t="s">
        <v>107</v>
      </c>
      <c r="C28" s="153">
        <f>Fin_Analysis!C13</f>
        <v>0</v>
      </c>
      <c r="D28" s="149" t="str">
        <f>IF(Inputs!D35="","",Inputs!D35)</f>
        <v/>
      </c>
      <c r="E28" s="149" t="str">
        <f>IF(Inputs!E35="","",Inputs!E35)</f>
        <v/>
      </c>
      <c r="F28" s="149" t="str">
        <f>IF(Inputs!F35="","",Inputs!F35)</f>
        <v/>
      </c>
      <c r="G28" s="149" t="str">
        <f>IF(Inputs!G35="","",Inputs!G35)</f>
        <v/>
      </c>
      <c r="H28" s="149" t="str">
        <f>IF(Inputs!H35="","",Inputs!H35)</f>
        <v/>
      </c>
      <c r="I28" s="149" t="str">
        <f>IF(Inputs!I35="","",Inputs!I35)</f>
        <v/>
      </c>
      <c r="J28" s="149" t="str">
        <f>IF(Inputs!J35="","",Inputs!J35)</f>
        <v/>
      </c>
      <c r="K28" s="149" t="str">
        <f>IF(Inputs!K35="","",Inputs!K35)</f>
        <v/>
      </c>
      <c r="L28" s="149" t="str">
        <f>IF(Inputs!L35="","",Inputs!L35)</f>
        <v/>
      </c>
      <c r="M28" s="149" t="str">
        <f>IF(Inputs!M35="","",Inputs!M35)</f>
        <v/>
      </c>
      <c r="N28" s="3"/>
    </row>
    <row r="29" spans="1:14" ht="15.75" customHeight="1" x14ac:dyDescent="0.35">
      <c r="A29" s="140"/>
      <c r="B29" s="269" t="s">
        <v>136</v>
      </c>
      <c r="C29" s="153">
        <f>Fin_Analysis!C18</f>
        <v>0</v>
      </c>
      <c r="D29" s="149" t="str">
        <f>IF(Inputs!D36="","",Inputs!D36)</f>
        <v/>
      </c>
      <c r="E29" s="149" t="str">
        <f>IF(Inputs!E36="","",Inputs!E36)</f>
        <v/>
      </c>
      <c r="F29" s="149" t="str">
        <f>IF(Inputs!F36="","",Inputs!F36)</f>
        <v/>
      </c>
      <c r="G29" s="149" t="str">
        <f>IF(Inputs!G36="","",Inputs!G36)</f>
        <v/>
      </c>
      <c r="H29" s="149" t="str">
        <f>IF(Inputs!H36="","",Inputs!H36)</f>
        <v/>
      </c>
      <c r="I29" s="149" t="str">
        <f>IF(Inputs!I36="","",Inputs!I36)</f>
        <v/>
      </c>
      <c r="J29" s="149" t="str">
        <f>IF(Inputs!J36="","",Inputs!J36)</f>
        <v/>
      </c>
      <c r="K29" s="149" t="str">
        <f>IF(Inputs!K36="","",Inputs!K36)</f>
        <v/>
      </c>
      <c r="L29" s="149" t="str">
        <f>IF(Inputs!L36="","",Inputs!L36)</f>
        <v/>
      </c>
      <c r="M29" s="149" t="str">
        <f>IF(Inputs!M36="","",Inputs!M36)</f>
        <v/>
      </c>
      <c r="N29" s="3"/>
    </row>
    <row r="30" spans="1:14" ht="15.75" customHeight="1" x14ac:dyDescent="0.35">
      <c r="A30" s="140"/>
      <c r="B30" s="269" t="s">
        <v>244</v>
      </c>
      <c r="C30" s="153">
        <f>Inputs!C37</f>
        <v>6225829</v>
      </c>
      <c r="D30" s="149">
        <f>IF(Inputs!D37="","",Inputs!D37)</f>
        <v>5790497</v>
      </c>
      <c r="E30" s="149" t="str">
        <f>IF(Inputs!E37="","",Inputs!E37)</f>
        <v xml:space="preserve">	5,417,703</v>
      </c>
      <c r="F30" s="149">
        <f>IF(Inputs!F37="","",Inputs!F37)</f>
        <v>4913123</v>
      </c>
      <c r="G30" s="149" t="str">
        <f>IF(Inputs!G37="","",Inputs!G37)</f>
        <v/>
      </c>
      <c r="H30" s="149" t="str">
        <f>IF(Inputs!H37="","",Inputs!H37)</f>
        <v/>
      </c>
      <c r="I30" s="149" t="str">
        <f>IF(Inputs!I37="","",Inputs!I37)</f>
        <v/>
      </c>
      <c r="J30" s="149" t="str">
        <f>IF(Inputs!J37="","",Inputs!J37)</f>
        <v/>
      </c>
      <c r="K30" s="149" t="str">
        <f>IF(Inputs!K37="","",Inputs!K37)</f>
        <v/>
      </c>
      <c r="L30" s="149" t="str">
        <f>IF(Inputs!L37="","",Inputs!L37)</f>
        <v/>
      </c>
      <c r="M30" s="149" t="str">
        <f>IF(Inputs!M37="","",Inputs!M37)</f>
        <v/>
      </c>
      <c r="N30" s="3"/>
    </row>
    <row r="31" spans="1:14" ht="15.5" customHeight="1" x14ac:dyDescent="0.35">
      <c r="A31" s="140"/>
      <c r="B31" s="269" t="s">
        <v>16</v>
      </c>
      <c r="C31" s="153">
        <f>Fin_Analysis!I15</f>
        <v>0</v>
      </c>
      <c r="D31" s="149" t="str">
        <f>IF(Inputs!D39="","",Inputs!D39)</f>
        <v/>
      </c>
      <c r="E31" s="149" t="str">
        <f>IF(Inputs!E39="","",Inputs!E39)</f>
        <v/>
      </c>
      <c r="F31" s="149" t="str">
        <f>IF(Inputs!F39="","",Inputs!F39)</f>
        <v/>
      </c>
      <c r="G31" s="149" t="str">
        <f>IF(Inputs!G39="","",Inputs!G39)</f>
        <v/>
      </c>
      <c r="H31" s="149" t="str">
        <f>IF(Inputs!H39="","",Inputs!H39)</f>
        <v/>
      </c>
      <c r="I31" s="149" t="str">
        <f>IF(Inputs!I39="","",Inputs!I39)</f>
        <v/>
      </c>
      <c r="J31" s="149" t="str">
        <f>IF(Inputs!J39="","",Inputs!J39)</f>
        <v/>
      </c>
      <c r="K31" s="149" t="str">
        <f>IF(Inputs!K39="","",Inputs!K39)</f>
        <v/>
      </c>
      <c r="L31" s="149" t="str">
        <f>IF(Inputs!L39="","",Inputs!L39)</f>
        <v/>
      </c>
      <c r="M31" s="149" t="str">
        <f>IF(Inputs!M39="","",Inputs!M39)</f>
        <v/>
      </c>
      <c r="N31" s="3"/>
    </row>
    <row r="32" spans="1:14" ht="15.75" customHeight="1" x14ac:dyDescent="0.35">
      <c r="A32" s="140"/>
      <c r="B32" s="269" t="s">
        <v>17</v>
      </c>
      <c r="C32" s="153">
        <f>Fin_Analysis!I34</f>
        <v>0</v>
      </c>
      <c r="D32" s="149" t="str">
        <f>IF(Inputs!D40="","",Inputs!D40)</f>
        <v/>
      </c>
      <c r="E32" s="149" t="str">
        <f>IF(Inputs!E40="","",Inputs!E40)</f>
        <v/>
      </c>
      <c r="F32" s="149" t="str">
        <f>IF(Inputs!F40="","",Inputs!F40)</f>
        <v/>
      </c>
      <c r="G32" s="149" t="str">
        <f>IF(Inputs!G40="","",Inputs!G40)</f>
        <v/>
      </c>
      <c r="H32" s="149" t="str">
        <f>IF(Inputs!H40="","",Inputs!H40)</f>
        <v/>
      </c>
      <c r="I32" s="149" t="str">
        <f>IF(Inputs!I40="","",Inputs!I40)</f>
        <v/>
      </c>
      <c r="J32" s="149" t="str">
        <f>IF(Inputs!J40="","",Inputs!J40)</f>
        <v/>
      </c>
      <c r="K32" s="149" t="str">
        <f>IF(Inputs!K40="","",Inputs!K40)</f>
        <v/>
      </c>
      <c r="L32" s="149" t="str">
        <f>IF(Inputs!L40="","",Inputs!L40)</f>
        <v/>
      </c>
      <c r="M32" s="149" t="str">
        <f>IF(Inputs!M40="","",Inputs!M40)</f>
        <v/>
      </c>
      <c r="N32" s="3"/>
    </row>
    <row r="33" spans="1:14" ht="15.75" customHeight="1" x14ac:dyDescent="0.35">
      <c r="A33" s="140"/>
      <c r="B33" s="269" t="s">
        <v>18</v>
      </c>
      <c r="C33" s="102">
        <f t="shared" ref="C33" si="21">IF(OR(C31="",C32=""),"",C31+C32)</f>
        <v>0</v>
      </c>
      <c r="D33" s="102" t="str">
        <f t="shared" ref="D33" si="22">IF(OR(D31="",D32=""),"",D31+D32)</f>
        <v/>
      </c>
      <c r="E33" s="102" t="str">
        <f t="shared" ref="E33" si="23">IF(OR(E31="",E32=""),"",E31+E32)</f>
        <v/>
      </c>
      <c r="F33" s="102" t="str">
        <f t="shared" ref="F33" si="24">IF(OR(F31="",F32=""),"",F31+F32)</f>
        <v/>
      </c>
      <c r="G33" s="102" t="str">
        <f t="shared" ref="G33" si="25">IF(OR(G31="",G32=""),"",G31+G32)</f>
        <v/>
      </c>
      <c r="H33" s="102" t="str">
        <f t="shared" ref="H33" si="26">IF(OR(H31="",H32=""),"",H31+H32)</f>
        <v/>
      </c>
      <c r="I33" s="102" t="str">
        <f t="shared" ref="I33" si="27">IF(OR(I31="",I32=""),"",I31+I32)</f>
        <v/>
      </c>
      <c r="J33" s="102" t="str">
        <f t="shared" ref="J33" si="28">IF(OR(J31="",J32=""),"",J31+J32)</f>
        <v/>
      </c>
      <c r="K33" s="102" t="str">
        <f t="shared" ref="K33" si="29">IF(OR(K31="",K32=""),"",K31+K32)</f>
        <v/>
      </c>
      <c r="L33" s="102" t="str">
        <f t="shared" ref="L33" si="30">IF(OR(L31="",L32=""),"",L31+L32)</f>
        <v/>
      </c>
      <c r="M33" s="102" t="str">
        <f t="shared" ref="M33" si="31">IF(OR(M31="",M32=""),"",M31+M32)</f>
        <v/>
      </c>
      <c r="N33" s="3"/>
    </row>
    <row r="34" spans="1:14" ht="15.75" customHeight="1" x14ac:dyDescent="0.35">
      <c r="A34" s="140"/>
      <c r="B34" s="269" t="s">
        <v>127</v>
      </c>
      <c r="C34" s="153">
        <f>Inputs!C41</f>
        <v>570865</v>
      </c>
      <c r="D34" s="149">
        <f>IF(Inputs!D41="","",Inputs!D41)</f>
        <v>510013</v>
      </c>
      <c r="E34" s="149">
        <f>IF(Inputs!E41="","",Inputs!E41)</f>
        <v>484366</v>
      </c>
      <c r="F34" s="149">
        <f>IF(Inputs!F41="","",Inputs!F41)</f>
        <v>455040</v>
      </c>
      <c r="G34" s="149" t="str">
        <f>IF(Inputs!G41="","",Inputs!G41)</f>
        <v/>
      </c>
      <c r="H34" s="149" t="str">
        <f>IF(Inputs!H41="","",Inputs!H41)</f>
        <v/>
      </c>
      <c r="I34" s="149" t="str">
        <f>IF(Inputs!I41="","",Inputs!I41)</f>
        <v/>
      </c>
      <c r="J34" s="149" t="str">
        <f>IF(Inputs!J41="","",Inputs!J41)</f>
        <v/>
      </c>
      <c r="K34" s="149" t="str">
        <f>IF(Inputs!K41="","",Inputs!K41)</f>
        <v/>
      </c>
      <c r="L34" s="149" t="str">
        <f>IF(Inputs!L41="","",Inputs!L41)</f>
        <v/>
      </c>
      <c r="M34" s="149" t="str">
        <f>IF(Inputs!M41="","",Inputs!M41)</f>
        <v/>
      </c>
      <c r="N34" s="3"/>
    </row>
    <row r="35" spans="1:14" ht="15.75" customHeight="1" x14ac:dyDescent="0.35">
      <c r="A35" s="140"/>
      <c r="B35" s="269" t="s">
        <v>128</v>
      </c>
      <c r="C35" s="153">
        <f>Inputs!C42</f>
        <v>2474</v>
      </c>
      <c r="D35" s="149">
        <f>IF(Inputs!D42="","",Inputs!D42)</f>
        <v>2130</v>
      </c>
      <c r="E35" s="149">
        <f>IF(Inputs!E42="","",Inputs!E42)</f>
        <v>1877</v>
      </c>
      <c r="F35" s="149">
        <f>IF(Inputs!F42="","",Inputs!F42)</f>
        <v>1570</v>
      </c>
      <c r="G35" s="149" t="str">
        <f>IF(Inputs!G42="","",Inputs!G42)</f>
        <v/>
      </c>
      <c r="H35" s="149" t="str">
        <f>IF(Inputs!H42="","",Inputs!H42)</f>
        <v/>
      </c>
      <c r="I35" s="149" t="str">
        <f>IF(Inputs!I42="","",Inputs!I42)</f>
        <v/>
      </c>
      <c r="J35" s="149" t="str">
        <f>IF(Inputs!J42="","",Inputs!J42)</f>
        <v/>
      </c>
      <c r="K35" s="149" t="str">
        <f>IF(Inputs!K42="","",Inputs!K42)</f>
        <v/>
      </c>
      <c r="L35" s="149" t="str">
        <f>IF(Inputs!L42="","",Inputs!L42)</f>
        <v/>
      </c>
      <c r="M35" s="149" t="str">
        <f>IF(Inputs!M42="","",Inputs!M42)</f>
        <v/>
      </c>
      <c r="N35" s="3"/>
    </row>
    <row r="36" spans="1:14" ht="15.75" customHeight="1" x14ac:dyDescent="0.35">
      <c r="A36" s="140"/>
      <c r="B36" s="269" t="s">
        <v>126</v>
      </c>
      <c r="C36" s="153">
        <f>Inputs!C40</f>
        <v>0</v>
      </c>
      <c r="D36" s="149" t="str">
        <f>IF(Inputs!D43="","",Inputs!D43)</f>
        <v/>
      </c>
      <c r="E36" s="149" t="str">
        <f>IF(Inputs!E43="","",Inputs!E43)</f>
        <v/>
      </c>
      <c r="F36" s="149" t="str">
        <f>IF(Inputs!F43="","",Inputs!F43)</f>
        <v/>
      </c>
      <c r="G36" s="149" t="str">
        <f>IF(Inputs!G43="","",Inputs!G43)</f>
        <v/>
      </c>
      <c r="H36" s="149" t="str">
        <f>IF(Inputs!H43="","",Inputs!H43)</f>
        <v/>
      </c>
      <c r="I36" s="149" t="str">
        <f>IF(Inputs!I43="","",Inputs!I43)</f>
        <v/>
      </c>
      <c r="J36" s="149" t="str">
        <f>IF(Inputs!J43="","",Inputs!J43)</f>
        <v/>
      </c>
      <c r="K36" s="149" t="str">
        <f>IF(Inputs!K43="","",Inputs!K43)</f>
        <v/>
      </c>
      <c r="L36" s="149" t="str">
        <f>IF(Inputs!L43="","",Inputs!L43)</f>
        <v/>
      </c>
      <c r="M36" s="149" t="str">
        <f>IF(Inputs!M43="","",Inputs!M43)</f>
        <v/>
      </c>
      <c r="N36" s="3"/>
    </row>
    <row r="37" spans="1:14" ht="15.75" customHeight="1" x14ac:dyDescent="0.35">
      <c r="A37" s="140"/>
      <c r="B37" s="269" t="s">
        <v>130</v>
      </c>
      <c r="C37" s="153">
        <f>Fin_Analysis!C68</f>
        <v>6796694</v>
      </c>
      <c r="D37" s="153" t="str">
        <f t="shared" ref="D37:M37" si="32">IF(D36="","",D27-D36)</f>
        <v/>
      </c>
      <c r="E37" s="153" t="str">
        <f t="shared" si="32"/>
        <v/>
      </c>
      <c r="F37" s="153" t="str">
        <f t="shared" si="32"/>
        <v/>
      </c>
      <c r="G37" s="153" t="str">
        <f t="shared" si="32"/>
        <v/>
      </c>
      <c r="H37" s="153" t="str">
        <f t="shared" si="32"/>
        <v/>
      </c>
      <c r="I37" s="153" t="str">
        <f t="shared" si="32"/>
        <v/>
      </c>
      <c r="J37" s="153" t="str">
        <f t="shared" si="32"/>
        <v/>
      </c>
      <c r="K37" s="153" t="str">
        <f t="shared" si="32"/>
        <v/>
      </c>
      <c r="L37" s="153" t="str">
        <f t="shared" si="32"/>
        <v/>
      </c>
      <c r="M37" s="153" t="str">
        <f t="shared" si="32"/>
        <v/>
      </c>
      <c r="N37" s="3"/>
    </row>
    <row r="38" spans="1:14" ht="15.75" customHeight="1" x14ac:dyDescent="0.35">
      <c r="A38" s="140"/>
      <c r="B38" s="273" t="s">
        <v>142</v>
      </c>
      <c r="C38" s="154">
        <f>IF(C6="","",C14/MAX(C37,0))</f>
        <v>2.6210438977145849E-2</v>
      </c>
      <c r="D38" s="154" t="e">
        <f>IF(D6="","",D14/MAX(D37,0))</f>
        <v>#DIV/0!</v>
      </c>
      <c r="E38" s="154" t="str">
        <f>IF(E6="","",E14/MAX(E37,0))</f>
        <v/>
      </c>
      <c r="F38" s="154" t="str">
        <f t="shared" ref="F38:M38" si="33">IF(F37="","",F14/F37)</f>
        <v/>
      </c>
      <c r="G38" s="154" t="str">
        <f t="shared" si="33"/>
        <v/>
      </c>
      <c r="H38" s="154" t="str">
        <f t="shared" si="33"/>
        <v/>
      </c>
      <c r="I38" s="154" t="str">
        <f t="shared" si="33"/>
        <v/>
      </c>
      <c r="J38" s="154" t="str">
        <f t="shared" si="33"/>
        <v/>
      </c>
      <c r="K38" s="154" t="str">
        <f t="shared" si="33"/>
        <v/>
      </c>
      <c r="L38" s="154" t="str">
        <f t="shared" si="33"/>
        <v/>
      </c>
      <c r="M38" s="154" t="str">
        <f t="shared" si="33"/>
        <v/>
      </c>
      <c r="N38" s="3"/>
    </row>
    <row r="39" spans="1:14" ht="15.75" customHeight="1" x14ac:dyDescent="0.35">
      <c r="A39" s="134"/>
      <c r="B39" s="274" t="s">
        <v>229</v>
      </c>
      <c r="C39" s="155"/>
      <c r="D39" s="155"/>
      <c r="E39" s="155"/>
      <c r="F39" s="155"/>
      <c r="G39" s="155"/>
      <c r="H39" s="155"/>
      <c r="I39" s="155"/>
      <c r="J39" s="155"/>
      <c r="K39" s="155"/>
      <c r="L39" s="155"/>
      <c r="M39" s="155"/>
      <c r="N39" s="3"/>
    </row>
    <row r="40" spans="1:14" ht="15.75" customHeight="1" x14ac:dyDescent="0.35">
      <c r="A40" s="140"/>
      <c r="B40" s="275" t="s">
        <v>89</v>
      </c>
      <c r="C40" s="156">
        <f t="shared" ref="C40:M40" si="34">IF(C6="","",C8/C6)</f>
        <v>0.19853855217217412</v>
      </c>
      <c r="D40" s="156">
        <f t="shared" si="34"/>
        <v>0.19873169581334335</v>
      </c>
      <c r="E40" s="156" t="str">
        <f t="shared" si="34"/>
        <v/>
      </c>
      <c r="F40" s="156" t="str">
        <f t="shared" si="34"/>
        <v/>
      </c>
      <c r="G40" s="156" t="str">
        <f t="shared" si="34"/>
        <v/>
      </c>
      <c r="H40" s="156" t="str">
        <f t="shared" si="34"/>
        <v/>
      </c>
      <c r="I40" s="156" t="str">
        <f t="shared" si="34"/>
        <v/>
      </c>
      <c r="J40" s="156" t="str">
        <f t="shared" si="34"/>
        <v/>
      </c>
      <c r="K40" s="156" t="str">
        <f t="shared" si="34"/>
        <v/>
      </c>
      <c r="L40" s="156" t="str">
        <f t="shared" si="34"/>
        <v/>
      </c>
      <c r="M40" s="156" t="str">
        <f t="shared" si="34"/>
        <v/>
      </c>
      <c r="N40" s="3"/>
    </row>
    <row r="41" spans="1:14" ht="15.75" customHeight="1" x14ac:dyDescent="0.35">
      <c r="A41" s="140"/>
      <c r="B41" s="269" t="s">
        <v>207</v>
      </c>
      <c r="C41" s="151">
        <f t="shared" ref="C41:M41" si="35">IF(C6="","",(C10+MAX(C11,0))/C6)</f>
        <v>0.15821181625248168</v>
      </c>
      <c r="D41" s="151">
        <f t="shared" si="35"/>
        <v>0.16683616693565623</v>
      </c>
      <c r="E41" s="151" t="str">
        <f t="shared" si="35"/>
        <v/>
      </c>
      <c r="F41" s="151" t="str">
        <f t="shared" si="35"/>
        <v/>
      </c>
      <c r="G41" s="151" t="str">
        <f t="shared" si="35"/>
        <v/>
      </c>
      <c r="H41" s="151" t="str">
        <f t="shared" si="35"/>
        <v/>
      </c>
      <c r="I41" s="151" t="str">
        <f t="shared" si="35"/>
        <v/>
      </c>
      <c r="J41" s="151" t="str">
        <f t="shared" si="35"/>
        <v/>
      </c>
      <c r="K41" s="151" t="str">
        <f t="shared" si="35"/>
        <v/>
      </c>
      <c r="L41" s="151" t="str">
        <f t="shared" si="35"/>
        <v/>
      </c>
      <c r="M41" s="151" t="str">
        <f t="shared" si="35"/>
        <v/>
      </c>
      <c r="N41" s="3"/>
    </row>
    <row r="42" spans="1:14" ht="15.75" customHeight="1" x14ac:dyDescent="0.35">
      <c r="A42" s="140"/>
      <c r="B42" s="269" t="s">
        <v>100</v>
      </c>
      <c r="C42" s="151">
        <f t="shared" ref="C42:M42" si="36">IF(C6="","",MAX(C16,0)/C6)</f>
        <v>0</v>
      </c>
      <c r="D42" s="151">
        <f t="shared" si="36"/>
        <v>0</v>
      </c>
      <c r="E42" s="151" t="str">
        <f t="shared" si="36"/>
        <v/>
      </c>
      <c r="F42" s="151" t="str">
        <f t="shared" si="36"/>
        <v/>
      </c>
      <c r="G42" s="151" t="str">
        <f t="shared" si="36"/>
        <v/>
      </c>
      <c r="H42" s="151" t="str">
        <f t="shared" si="36"/>
        <v/>
      </c>
      <c r="I42" s="151" t="str">
        <f t="shared" si="36"/>
        <v/>
      </c>
      <c r="J42" s="151" t="str">
        <f t="shared" si="36"/>
        <v/>
      </c>
      <c r="K42" s="151" t="str">
        <f t="shared" si="36"/>
        <v/>
      </c>
      <c r="L42" s="151" t="str">
        <f t="shared" si="36"/>
        <v/>
      </c>
      <c r="M42" s="151" t="str">
        <f t="shared" si="36"/>
        <v/>
      </c>
      <c r="N42" s="3"/>
    </row>
    <row r="43" spans="1:14" ht="15.75" customHeight="1" x14ac:dyDescent="0.35">
      <c r="A43" s="140"/>
      <c r="B43" s="269" t="s">
        <v>112</v>
      </c>
      <c r="C43" s="151">
        <f t="shared" ref="C43:M43" si="37">IF(C6="","",MAX(C17,0)/C6)</f>
        <v>0.51643948647548221</v>
      </c>
      <c r="D43" s="151">
        <f t="shared" si="37"/>
        <v>0.47037798559984673</v>
      </c>
      <c r="E43" s="151" t="str">
        <f t="shared" si="37"/>
        <v/>
      </c>
      <c r="F43" s="151" t="str">
        <f t="shared" si="37"/>
        <v/>
      </c>
      <c r="G43" s="151" t="str">
        <f t="shared" si="37"/>
        <v/>
      </c>
      <c r="H43" s="151" t="str">
        <f t="shared" si="37"/>
        <v/>
      </c>
      <c r="I43" s="151" t="str">
        <f t="shared" si="37"/>
        <v/>
      </c>
      <c r="J43" s="151" t="str">
        <f t="shared" si="37"/>
        <v/>
      </c>
      <c r="K43" s="151" t="str">
        <f t="shared" si="37"/>
        <v/>
      </c>
      <c r="L43" s="151" t="str">
        <f t="shared" si="37"/>
        <v/>
      </c>
      <c r="M43" s="151" t="str">
        <f t="shared" si="37"/>
        <v/>
      </c>
      <c r="N43" s="3"/>
    </row>
    <row r="44" spans="1:14" ht="15.75" customHeight="1" x14ac:dyDescent="0.35">
      <c r="A44" s="140"/>
      <c r="B44" s="269" t="s">
        <v>119</v>
      </c>
      <c r="C44" s="151">
        <f t="shared" ref="C44:M44" si="38">IF(C6="","",MAX(C12,0)/C6)</f>
        <v>1.3644023113167324E-3</v>
      </c>
      <c r="D44" s="151">
        <f t="shared" si="38"/>
        <v>1.1447409470888943E-3</v>
      </c>
      <c r="E44" s="151" t="str">
        <f t="shared" si="38"/>
        <v/>
      </c>
      <c r="F44" s="151" t="str">
        <f t="shared" si="38"/>
        <v/>
      </c>
      <c r="G44" s="151" t="str">
        <f t="shared" si="38"/>
        <v/>
      </c>
      <c r="H44" s="151" t="str">
        <f t="shared" si="38"/>
        <v/>
      </c>
      <c r="I44" s="151" t="str">
        <f t="shared" si="38"/>
        <v/>
      </c>
      <c r="J44" s="151" t="str">
        <f t="shared" si="38"/>
        <v/>
      </c>
      <c r="K44" s="151" t="str">
        <f t="shared" si="38"/>
        <v/>
      </c>
      <c r="L44" s="151" t="str">
        <f t="shared" si="38"/>
        <v/>
      </c>
      <c r="M44" s="151" t="str">
        <f t="shared" si="38"/>
        <v/>
      </c>
      <c r="N44" s="3"/>
    </row>
    <row r="45" spans="1:14" ht="15.75" customHeight="1" x14ac:dyDescent="0.35">
      <c r="A45" s="140"/>
      <c r="B45" s="269" t="s">
        <v>209</v>
      </c>
      <c r="C45" s="151">
        <f t="shared" ref="C45:M45" si="39">IF(C6="","",ABS(MAX(C21,0)-MAX(C19,0))/C6)</f>
        <v>0</v>
      </c>
      <c r="D45" s="151">
        <f t="shared" si="39"/>
        <v>0</v>
      </c>
      <c r="E45" s="151" t="str">
        <f t="shared" si="39"/>
        <v/>
      </c>
      <c r="F45" s="151" t="str">
        <f t="shared" si="39"/>
        <v/>
      </c>
      <c r="G45" s="151" t="str">
        <f t="shared" si="39"/>
        <v/>
      </c>
      <c r="H45" s="151" t="str">
        <f t="shared" si="39"/>
        <v/>
      </c>
      <c r="I45" s="151" t="str">
        <f t="shared" si="39"/>
        <v/>
      </c>
      <c r="J45" s="151" t="str">
        <f t="shared" si="39"/>
        <v/>
      </c>
      <c r="K45" s="151" t="str">
        <f t="shared" si="39"/>
        <v/>
      </c>
      <c r="L45" s="151" t="str">
        <f t="shared" si="39"/>
        <v/>
      </c>
      <c r="M45" s="151" t="str">
        <f t="shared" si="39"/>
        <v/>
      </c>
      <c r="N45" s="3"/>
    </row>
    <row r="46" spans="1:14" ht="15.75" customHeight="1" x14ac:dyDescent="0.35">
      <c r="A46" s="140"/>
      <c r="B46" s="288" t="s">
        <v>114</v>
      </c>
      <c r="C46" s="289">
        <f t="shared" ref="C46:M46" si="40">IF(C6="","",C22/C6)</f>
        <v>0.12544574278854531</v>
      </c>
      <c r="D46" s="289">
        <f t="shared" si="40"/>
        <v>0.16290941070406484</v>
      </c>
      <c r="E46" s="289" t="str">
        <f t="shared" si="40"/>
        <v/>
      </c>
      <c r="F46" s="289" t="str">
        <f t="shared" si="40"/>
        <v/>
      </c>
      <c r="G46" s="289" t="str">
        <f t="shared" si="40"/>
        <v/>
      </c>
      <c r="H46" s="289" t="str">
        <f t="shared" si="40"/>
        <v/>
      </c>
      <c r="I46" s="289" t="str">
        <f t="shared" si="40"/>
        <v/>
      </c>
      <c r="J46" s="289" t="str">
        <f t="shared" si="40"/>
        <v/>
      </c>
      <c r="K46" s="289" t="str">
        <f t="shared" si="40"/>
        <v/>
      </c>
      <c r="L46" s="289" t="str">
        <f t="shared" si="40"/>
        <v/>
      </c>
      <c r="M46" s="289" t="str">
        <f t="shared" si="40"/>
        <v/>
      </c>
      <c r="N46" s="3"/>
    </row>
    <row r="47" spans="1:14" ht="15.75" customHeight="1" x14ac:dyDescent="0.35">
      <c r="A47" s="134"/>
      <c r="B47" s="276" t="s">
        <v>230</v>
      </c>
      <c r="C47" s="157" t="s">
        <v>247</v>
      </c>
      <c r="D47" s="158"/>
      <c r="E47" s="158"/>
      <c r="F47" s="158"/>
      <c r="G47" s="158"/>
      <c r="H47" s="158"/>
      <c r="I47" s="158"/>
      <c r="J47" s="158"/>
      <c r="K47" s="158"/>
      <c r="L47" s="158"/>
      <c r="M47" s="158"/>
      <c r="N47" s="3"/>
    </row>
    <row r="48" spans="1:14" ht="15.75" customHeight="1" x14ac:dyDescent="0.35">
      <c r="A48" s="140"/>
      <c r="B48" s="277" t="s">
        <v>236</v>
      </c>
      <c r="C48" s="159">
        <f t="shared" ref="C48:M48" si="41">IF(C6="","",C6/C27)</f>
        <v>4.083352877148802E-2</v>
      </c>
      <c r="D48" s="159">
        <f t="shared" si="41"/>
        <v>4.3073655942138016E-2</v>
      </c>
      <c r="E48" s="159" t="str">
        <f t="shared" si="41"/>
        <v/>
      </c>
      <c r="F48" s="159" t="str">
        <f t="shared" si="41"/>
        <v/>
      </c>
      <c r="G48" s="159" t="str">
        <f t="shared" si="41"/>
        <v/>
      </c>
      <c r="H48" s="159" t="str">
        <f t="shared" si="41"/>
        <v/>
      </c>
      <c r="I48" s="159" t="str">
        <f t="shared" si="41"/>
        <v/>
      </c>
      <c r="J48" s="159" t="str">
        <f t="shared" si="41"/>
        <v/>
      </c>
      <c r="K48" s="159" t="str">
        <f t="shared" si="41"/>
        <v/>
      </c>
      <c r="L48" s="159" t="str">
        <f t="shared" si="41"/>
        <v/>
      </c>
      <c r="M48" s="159" t="str">
        <f t="shared" si="41"/>
        <v/>
      </c>
      <c r="N48" s="3"/>
    </row>
    <row r="49" spans="1:14" ht="15.75" customHeight="1" x14ac:dyDescent="0.35">
      <c r="A49" s="140"/>
      <c r="B49" s="269" t="s">
        <v>237</v>
      </c>
      <c r="C49" s="151">
        <f t="shared" ref="C49:M49" si="42">IF(C28="","",C28/C6)</f>
        <v>0</v>
      </c>
      <c r="D49" s="151" t="str">
        <f t="shared" si="42"/>
        <v/>
      </c>
      <c r="E49" s="151" t="str">
        <f t="shared" si="42"/>
        <v/>
      </c>
      <c r="F49" s="151" t="str">
        <f t="shared" si="42"/>
        <v/>
      </c>
      <c r="G49" s="151" t="str">
        <f t="shared" si="42"/>
        <v/>
      </c>
      <c r="H49" s="151" t="str">
        <f t="shared" si="42"/>
        <v/>
      </c>
      <c r="I49" s="151" t="str">
        <f t="shared" si="42"/>
        <v/>
      </c>
      <c r="J49" s="151" t="str">
        <f t="shared" si="42"/>
        <v/>
      </c>
      <c r="K49" s="151" t="str">
        <f t="shared" si="42"/>
        <v/>
      </c>
      <c r="L49" s="151" t="str">
        <f t="shared" si="42"/>
        <v/>
      </c>
      <c r="M49" s="151" t="str">
        <f t="shared" si="42"/>
        <v/>
      </c>
      <c r="N49" s="3"/>
    </row>
    <row r="50" spans="1:14" ht="15.75" customHeight="1" x14ac:dyDescent="0.35">
      <c r="A50" s="140"/>
      <c r="B50" s="269" t="s">
        <v>238</v>
      </c>
      <c r="C50" s="151">
        <f t="shared" ref="C50:M50" si="43">IF(C29="","",C29/C6)</f>
        <v>0</v>
      </c>
      <c r="D50" s="151" t="str">
        <f t="shared" si="43"/>
        <v/>
      </c>
      <c r="E50" s="151" t="str">
        <f t="shared" si="43"/>
        <v/>
      </c>
      <c r="F50" s="151" t="str">
        <f t="shared" si="43"/>
        <v/>
      </c>
      <c r="G50" s="151" t="str">
        <f t="shared" si="43"/>
        <v/>
      </c>
      <c r="H50" s="151" t="str">
        <f t="shared" si="43"/>
        <v/>
      </c>
      <c r="I50" s="151" t="str">
        <f t="shared" si="43"/>
        <v/>
      </c>
      <c r="J50" s="151" t="str">
        <f t="shared" si="43"/>
        <v/>
      </c>
      <c r="K50" s="151" t="str">
        <f t="shared" si="43"/>
        <v/>
      </c>
      <c r="L50" s="151" t="str">
        <f t="shared" si="43"/>
        <v/>
      </c>
      <c r="M50" s="151" t="str">
        <f t="shared" si="43"/>
        <v/>
      </c>
      <c r="N50" s="3"/>
    </row>
    <row r="51" spans="1:14" ht="15.75" customHeight="1" x14ac:dyDescent="0.35">
      <c r="A51" s="140"/>
      <c r="B51" s="269" t="s">
        <v>228</v>
      </c>
      <c r="C51" s="151" t="e">
        <f t="shared" ref="C51:M51" si="44">IF(D6="","",C16/(C6-D6))</f>
        <v>#VALUE!</v>
      </c>
      <c r="D51" s="151" t="str">
        <f t="shared" si="44"/>
        <v/>
      </c>
      <c r="E51" s="151" t="str">
        <f t="shared" si="44"/>
        <v/>
      </c>
      <c r="F51" s="151" t="str">
        <f t="shared" si="44"/>
        <v/>
      </c>
      <c r="G51" s="151" t="str">
        <f t="shared" si="44"/>
        <v/>
      </c>
      <c r="H51" s="151" t="str">
        <f t="shared" si="44"/>
        <v/>
      </c>
      <c r="I51" s="151" t="str">
        <f t="shared" si="44"/>
        <v/>
      </c>
      <c r="J51" s="151" t="str">
        <f t="shared" si="44"/>
        <v/>
      </c>
      <c r="K51" s="151" t="str">
        <f t="shared" si="44"/>
        <v/>
      </c>
      <c r="L51" s="151" t="str">
        <f t="shared" si="44"/>
        <v/>
      </c>
      <c r="M51" s="151" t="str">
        <f t="shared" si="44"/>
        <v/>
      </c>
      <c r="N51" s="3"/>
    </row>
    <row r="52" spans="1:14" ht="15.75" customHeight="1" x14ac:dyDescent="0.35">
      <c r="A52" s="134"/>
      <c r="B52" s="276" t="s">
        <v>231</v>
      </c>
      <c r="C52" s="158"/>
      <c r="D52" s="158"/>
      <c r="E52" s="158"/>
      <c r="F52" s="158"/>
      <c r="G52" s="158"/>
      <c r="H52" s="158"/>
      <c r="I52" s="158"/>
      <c r="J52" s="158"/>
      <c r="K52" s="158"/>
      <c r="L52" s="158"/>
      <c r="M52" s="158"/>
    </row>
    <row r="53" spans="1:14" ht="15.75" customHeight="1" x14ac:dyDescent="0.35">
      <c r="A53" s="140"/>
      <c r="B53" s="275" t="s">
        <v>232</v>
      </c>
      <c r="C53" s="156">
        <f t="shared" ref="C53:M53" si="45">IF(C34="","",(C34-C35)/C27)</f>
        <v>8.3627569521299613E-2</v>
      </c>
      <c r="D53" s="156">
        <f t="shared" si="45"/>
        <v>8.0609823649196652E-2</v>
      </c>
      <c r="E53" s="156" t="e">
        <f t="shared" si="45"/>
        <v>#VALUE!</v>
      </c>
      <c r="F53" s="156">
        <f t="shared" si="45"/>
        <v>8.4473962508217426E-2</v>
      </c>
      <c r="G53" s="156" t="str">
        <f t="shared" si="45"/>
        <v/>
      </c>
      <c r="H53" s="156" t="str">
        <f t="shared" si="45"/>
        <v/>
      </c>
      <c r="I53" s="156" t="str">
        <f t="shared" si="45"/>
        <v/>
      </c>
      <c r="J53" s="156" t="str">
        <f t="shared" si="45"/>
        <v/>
      </c>
      <c r="K53" s="156" t="str">
        <f t="shared" si="45"/>
        <v/>
      </c>
      <c r="L53" s="156" t="str">
        <f t="shared" si="45"/>
        <v/>
      </c>
      <c r="M53" s="156" t="str">
        <f t="shared" si="45"/>
        <v/>
      </c>
    </row>
    <row r="54" spans="1:14" ht="15.75" customHeight="1" x14ac:dyDescent="0.35">
      <c r="A54" s="140"/>
      <c r="B54" s="269" t="s">
        <v>111</v>
      </c>
      <c r="C54" s="160" t="str">
        <f t="shared" ref="C54:M54" si="46">IF(OR(C22="",C33=""),"",IF(C33&lt;=0,"-",C22/C33))</f>
        <v>-</v>
      </c>
      <c r="D54" s="160" t="str">
        <f t="shared" si="46"/>
        <v/>
      </c>
      <c r="E54" s="160" t="str">
        <f t="shared" si="46"/>
        <v/>
      </c>
      <c r="F54" s="160" t="str">
        <f t="shared" si="46"/>
        <v/>
      </c>
      <c r="G54" s="160" t="str">
        <f t="shared" si="46"/>
        <v/>
      </c>
      <c r="H54" s="160" t="str">
        <f t="shared" si="46"/>
        <v/>
      </c>
      <c r="I54" s="160" t="str">
        <f t="shared" si="46"/>
        <v/>
      </c>
      <c r="J54" s="160" t="str">
        <f t="shared" si="46"/>
        <v/>
      </c>
      <c r="K54" s="160" t="str">
        <f t="shared" si="46"/>
        <v/>
      </c>
      <c r="L54" s="160" t="str">
        <f t="shared" si="46"/>
        <v/>
      </c>
      <c r="M54" s="160" t="str">
        <f t="shared" si="46"/>
        <v/>
      </c>
    </row>
    <row r="55" spans="1:14" ht="15.75" customHeight="1" x14ac:dyDescent="0.35">
      <c r="A55" s="140"/>
      <c r="B55" s="269" t="s">
        <v>113</v>
      </c>
      <c r="C55" s="151">
        <f t="shared" ref="C55:M55" si="47">IF(C22="","",IF(MAX(C17,0)&lt;=0,"-",C17/C22))</f>
        <v>4.1168354939394511</v>
      </c>
      <c r="D55" s="151">
        <f t="shared" si="47"/>
        <v>2.8873591989987477</v>
      </c>
      <c r="E55" s="151" t="str">
        <f t="shared" si="47"/>
        <v/>
      </c>
      <c r="F55" s="151" t="str">
        <f t="shared" si="47"/>
        <v/>
      </c>
      <c r="G55" s="151" t="str">
        <f t="shared" si="47"/>
        <v/>
      </c>
      <c r="H55" s="151" t="str">
        <f t="shared" si="47"/>
        <v/>
      </c>
      <c r="I55" s="151" t="str">
        <f t="shared" si="47"/>
        <v/>
      </c>
      <c r="J55" s="151" t="str">
        <f t="shared" si="47"/>
        <v/>
      </c>
      <c r="K55" s="151" t="str">
        <f t="shared" si="47"/>
        <v/>
      </c>
      <c r="L55" s="151" t="str">
        <f t="shared" si="47"/>
        <v/>
      </c>
      <c r="M55" s="151" t="str">
        <f t="shared" si="47"/>
        <v/>
      </c>
    </row>
    <row r="56" spans="1:14" ht="15.75" customHeight="1" x14ac:dyDescent="0.35">
      <c r="A56" s="140"/>
      <c r="B56" s="269" t="s">
        <v>251</v>
      </c>
      <c r="C56" s="151">
        <f>IF(C34="","",IF(Inputs!C38=0,0,Inputs!C38/C27))</f>
        <v>0</v>
      </c>
      <c r="D56" s="151">
        <f>IF(D34="","",IF(Inputs!D38=0,0,Inputs!D38/D27))</f>
        <v>0.22139826775927662</v>
      </c>
      <c r="E56" s="151" t="e">
        <f>IF(E34="","",IF(Inputs!E38=0,0,Inputs!E38/E27))</f>
        <v>#VALUE!</v>
      </c>
      <c r="F56" s="151">
        <f>IF(F34="","",IF(Inputs!F38=0,0,Inputs!F38/F27))</f>
        <v>0.27758713735033752</v>
      </c>
      <c r="G56" s="151" t="str">
        <f>IF(G34="","",IF(Inputs!G38=0,0,Inputs!G38/G27))</f>
        <v/>
      </c>
      <c r="H56" s="151" t="str">
        <f>IF(H34="","",IF(Inputs!H38=0,0,Inputs!H38/H27))</f>
        <v/>
      </c>
      <c r="I56" s="151" t="str">
        <f>IF(I34="","",IF(Inputs!I38=0,0,Inputs!I38/I27))</f>
        <v/>
      </c>
      <c r="J56" s="151" t="str">
        <f>IF(J34="","",IF(Inputs!J38=0,0,Inputs!J38/J27))</f>
        <v/>
      </c>
      <c r="K56" s="151" t="str">
        <f>IF(K34="","",IF(Inputs!K38=0,0,Inputs!K38/K27))</f>
        <v/>
      </c>
      <c r="L56" s="151" t="str">
        <f>IF(L34="","",IF(Inputs!L38=0,0,Inputs!L38/L27))</f>
        <v/>
      </c>
      <c r="M56" s="151" t="str">
        <f>IF(M34="","",IF(Inputs!M38=0,0,Inputs!M38/M27))</f>
        <v/>
      </c>
    </row>
    <row r="57" spans="1:14" ht="15.75" customHeight="1" x14ac:dyDescent="0.35">
      <c r="A57" s="134"/>
      <c r="B57" s="276" t="s">
        <v>233</v>
      </c>
      <c r="C57" s="161" t="str">
        <f t="shared" ref="C57:M57" si="48">IFERROR(IF(C13*C48*(1/C53)=C58,"","Error"),"")</f>
        <v/>
      </c>
      <c r="D57" s="161" t="str">
        <f t="shared" si="48"/>
        <v/>
      </c>
      <c r="E57" s="161" t="str">
        <f t="shared" si="48"/>
        <v/>
      </c>
      <c r="F57" s="161" t="str">
        <f t="shared" si="48"/>
        <v/>
      </c>
      <c r="G57" s="161" t="str">
        <f t="shared" si="48"/>
        <v/>
      </c>
      <c r="H57" s="161" t="str">
        <f t="shared" si="48"/>
        <v/>
      </c>
      <c r="I57" s="161" t="str">
        <f t="shared" si="48"/>
        <v/>
      </c>
      <c r="J57" s="161" t="str">
        <f t="shared" si="48"/>
        <v/>
      </c>
      <c r="K57" s="161" t="str">
        <f t="shared" si="48"/>
        <v/>
      </c>
      <c r="L57" s="161" t="str">
        <f t="shared" si="48"/>
        <v/>
      </c>
      <c r="M57" s="161" t="str">
        <f t="shared" si="48"/>
        <v/>
      </c>
    </row>
    <row r="58" spans="1:14" ht="15.75" customHeight="1" x14ac:dyDescent="0.35">
      <c r="A58" s="140"/>
      <c r="B58" s="277" t="s">
        <v>234</v>
      </c>
      <c r="C58" s="162">
        <f t="shared" ref="C58:M58" si="49">IF(C14="","",C14/(C34-C35))</f>
        <v>0.31341863846073098</v>
      </c>
      <c r="D58" s="162">
        <f t="shared" si="49"/>
        <v>0.33839552285336061</v>
      </c>
      <c r="E58" s="162" t="str">
        <f t="shared" si="49"/>
        <v/>
      </c>
      <c r="F58" s="162" t="str">
        <f t="shared" si="49"/>
        <v/>
      </c>
      <c r="G58" s="162" t="str">
        <f t="shared" si="49"/>
        <v/>
      </c>
      <c r="H58" s="162" t="str">
        <f t="shared" si="49"/>
        <v/>
      </c>
      <c r="I58" s="162" t="str">
        <f t="shared" si="49"/>
        <v/>
      </c>
      <c r="J58" s="162" t="str">
        <f t="shared" si="49"/>
        <v/>
      </c>
      <c r="K58" s="162" t="str">
        <f t="shared" si="49"/>
        <v/>
      </c>
      <c r="L58" s="162" t="str">
        <f t="shared" si="49"/>
        <v/>
      </c>
      <c r="M58" s="162" t="str">
        <f t="shared" si="49"/>
        <v/>
      </c>
    </row>
    <row r="59" spans="1:14" ht="15.75" customHeight="1" x14ac:dyDescent="0.35">
      <c r="A59" s="140"/>
      <c r="B59" s="277" t="s">
        <v>235</v>
      </c>
      <c r="C59" s="162">
        <f t="shared" ref="C59:M59" si="50">IF(C22="","",C22/(C34-C35))</f>
        <v>6.1252435969840029E-2</v>
      </c>
      <c r="D59" s="162">
        <f t="shared" si="50"/>
        <v>8.70502326979508E-2</v>
      </c>
      <c r="E59" s="162" t="str">
        <f t="shared" si="50"/>
        <v/>
      </c>
      <c r="F59" s="162" t="str">
        <f t="shared" si="50"/>
        <v/>
      </c>
      <c r="G59" s="162" t="str">
        <f t="shared" si="50"/>
        <v/>
      </c>
      <c r="H59" s="162" t="str">
        <f t="shared" si="50"/>
        <v/>
      </c>
      <c r="I59" s="162" t="str">
        <f t="shared" si="50"/>
        <v/>
      </c>
      <c r="J59" s="162" t="str">
        <f t="shared" si="50"/>
        <v/>
      </c>
      <c r="K59" s="162" t="str">
        <f t="shared" si="50"/>
        <v/>
      </c>
      <c r="L59" s="162" t="str">
        <f t="shared" si="50"/>
        <v/>
      </c>
      <c r="M59" s="162" t="str">
        <f t="shared" si="50"/>
        <v/>
      </c>
    </row>
    <row r="60" spans="1:14" ht="15.75" customHeight="1" x14ac:dyDescent="0.35">
      <c r="A60" s="140"/>
    </row>
    <row r="61" spans="1:14" ht="15.75" customHeight="1" x14ac:dyDescent="0.35">
      <c r="A61" s="140"/>
    </row>
    <row r="62" spans="1:14" ht="15.75" customHeight="1" x14ac:dyDescent="0.35">
      <c r="A62" s="140"/>
    </row>
    <row r="63" spans="1:14" ht="15.75" customHeight="1" x14ac:dyDescent="0.35">
      <c r="A63" s="140"/>
    </row>
    <row r="64" spans="1:14" ht="15.75" customHeight="1" x14ac:dyDescent="0.35">
      <c r="A64" s="140"/>
    </row>
    <row r="65" spans="1:1" ht="15.75" customHeight="1" x14ac:dyDescent="0.35">
      <c r="A65" s="140"/>
    </row>
    <row r="66" spans="1:1" ht="15.75" customHeight="1" x14ac:dyDescent="0.35">
      <c r="A66" s="140"/>
    </row>
    <row r="67" spans="1:1" ht="15.75" customHeight="1" x14ac:dyDescent="0.35">
      <c r="A67" s="140"/>
    </row>
    <row r="68" spans="1:1" ht="15.75" customHeight="1" x14ac:dyDescent="0.35">
      <c r="A68" s="140"/>
    </row>
    <row r="69" spans="1:1" ht="15.75" customHeight="1" x14ac:dyDescent="0.35">
      <c r="A69" s="140"/>
    </row>
    <row r="70" spans="1:1" ht="15.75" customHeight="1" x14ac:dyDescent="0.35">
      <c r="A70" s="140"/>
    </row>
    <row r="71" spans="1:1" ht="15.75" customHeight="1" x14ac:dyDescent="0.35">
      <c r="A71" s="140"/>
    </row>
    <row r="72" spans="1:1" ht="15.75" customHeight="1" x14ac:dyDescent="0.35">
      <c r="A72" s="140"/>
    </row>
    <row r="73" spans="1:1" ht="15.75" customHeight="1" x14ac:dyDescent="0.35">
      <c r="A73" s="140"/>
    </row>
    <row r="74" spans="1:1" ht="15.75" customHeight="1" x14ac:dyDescent="0.35">
      <c r="A74" s="140"/>
    </row>
    <row r="75" spans="1:1" ht="15.75" customHeight="1" x14ac:dyDescent="0.35">
      <c r="A75" s="140"/>
    </row>
    <row r="76" spans="1:1" ht="15.75" customHeight="1" x14ac:dyDescent="0.35">
      <c r="A76" s="140"/>
    </row>
    <row r="77" spans="1:1" ht="15.75" customHeight="1" x14ac:dyDescent="0.35">
      <c r="A77" s="140"/>
    </row>
    <row r="78" spans="1:1" ht="15.75" customHeight="1" x14ac:dyDescent="0.35">
      <c r="A78" s="140"/>
    </row>
    <row r="79" spans="1:1" ht="15.75" customHeight="1" x14ac:dyDescent="0.35">
      <c r="A79" s="140"/>
    </row>
    <row r="80" spans="1:1" ht="15.75" customHeight="1" x14ac:dyDescent="0.35">
      <c r="A80" s="140"/>
    </row>
    <row r="81" spans="1:1" ht="15.75" customHeight="1" x14ac:dyDescent="0.35">
      <c r="A81" s="140"/>
    </row>
    <row r="82" spans="1:1" ht="15.75" customHeight="1" x14ac:dyDescent="0.35">
      <c r="A82" s="140"/>
    </row>
    <row r="83" spans="1:1" ht="15.75" customHeight="1" x14ac:dyDescent="0.35">
      <c r="A83" s="140"/>
    </row>
    <row r="84" spans="1:1" ht="15.75" customHeight="1" x14ac:dyDescent="0.35">
      <c r="A84" s="140"/>
    </row>
    <row r="85" spans="1:1" ht="15.75" customHeight="1" x14ac:dyDescent="0.35">
      <c r="A85" s="140"/>
    </row>
    <row r="86" spans="1:1" ht="15.75" customHeight="1" x14ac:dyDescent="0.35">
      <c r="A86" s="140"/>
    </row>
    <row r="87" spans="1:1" ht="15.75" customHeight="1" x14ac:dyDescent="0.35">
      <c r="A87" s="140"/>
    </row>
    <row r="88" spans="1:1" ht="15.75" customHeight="1" x14ac:dyDescent="0.35">
      <c r="A88" s="140"/>
    </row>
    <row r="89" spans="1:1" ht="15.75" customHeight="1" x14ac:dyDescent="0.35">
      <c r="A89" s="140"/>
    </row>
    <row r="90" spans="1:1" ht="15.75" customHeight="1" x14ac:dyDescent="0.35">
      <c r="A90" s="140"/>
    </row>
    <row r="91" spans="1:1" ht="15.75" customHeight="1" x14ac:dyDescent="0.35">
      <c r="A91" s="140"/>
    </row>
    <row r="92" spans="1:1" ht="15.75" customHeight="1" x14ac:dyDescent="0.35">
      <c r="A92" s="140"/>
    </row>
    <row r="93" spans="1:1" ht="15.75" customHeight="1" x14ac:dyDescent="0.35">
      <c r="A93" s="140"/>
    </row>
    <row r="94" spans="1:1" ht="15.75" customHeight="1" x14ac:dyDescent="0.35">
      <c r="A94" s="140"/>
    </row>
    <row r="95" spans="1:1" ht="15.75" customHeight="1" x14ac:dyDescent="0.35">
      <c r="A95" s="140"/>
    </row>
    <row r="96" spans="1:1" ht="15.75" customHeight="1" x14ac:dyDescent="0.35">
      <c r="A96" s="140"/>
    </row>
    <row r="97" spans="1:1" ht="15.75" customHeight="1" x14ac:dyDescent="0.35">
      <c r="A97" s="140"/>
    </row>
    <row r="98" spans="1:1" ht="15.75" customHeight="1" x14ac:dyDescent="0.35">
      <c r="A98" s="140"/>
    </row>
    <row r="99" spans="1:1" ht="15.75" customHeight="1" x14ac:dyDescent="0.35">
      <c r="A99" s="140"/>
    </row>
    <row r="100" spans="1:1" ht="15.75" customHeight="1" x14ac:dyDescent="0.35">
      <c r="A100" s="140"/>
    </row>
    <row r="101" spans="1:1" ht="15.75" customHeight="1" x14ac:dyDescent="0.35">
      <c r="A101" s="140"/>
    </row>
    <row r="102" spans="1:1" ht="15.75" customHeight="1" x14ac:dyDescent="0.35">
      <c r="A102" s="140"/>
    </row>
    <row r="103" spans="1:1" ht="15.75" customHeight="1" x14ac:dyDescent="0.35">
      <c r="A103" s="140"/>
    </row>
    <row r="104" spans="1:1" ht="15.75" customHeight="1" x14ac:dyDescent="0.35">
      <c r="A104" s="140"/>
    </row>
    <row r="105" spans="1:1" ht="15.75" customHeight="1" x14ac:dyDescent="0.35">
      <c r="A105" s="140"/>
    </row>
    <row r="106" spans="1:1" ht="15.75" customHeight="1" x14ac:dyDescent="0.35">
      <c r="A106" s="140"/>
    </row>
    <row r="107" spans="1:1" ht="15.75" customHeight="1" x14ac:dyDescent="0.35">
      <c r="A107" s="140"/>
    </row>
    <row r="108" spans="1:1" ht="15.75" customHeight="1" x14ac:dyDescent="0.35">
      <c r="A108" s="140"/>
    </row>
    <row r="109" spans="1:1" ht="15.75" customHeight="1" x14ac:dyDescent="0.35">
      <c r="A109" s="140"/>
    </row>
    <row r="110" spans="1:1" ht="15.75" customHeight="1" x14ac:dyDescent="0.35">
      <c r="A110" s="140"/>
    </row>
    <row r="111" spans="1:1" ht="15.75" customHeight="1" x14ac:dyDescent="0.35">
      <c r="A111" s="140"/>
    </row>
    <row r="112" spans="1:1" ht="15.75" customHeight="1" x14ac:dyDescent="0.35">
      <c r="A112" s="140"/>
    </row>
    <row r="113" spans="1:1" ht="15.75" customHeight="1" x14ac:dyDescent="0.35">
      <c r="A113" s="140"/>
    </row>
    <row r="114" spans="1:1" ht="15.75" customHeight="1" x14ac:dyDescent="0.35">
      <c r="A114" s="140"/>
    </row>
    <row r="115" spans="1:1" ht="15.75" customHeight="1" x14ac:dyDescent="0.35">
      <c r="A115" s="140"/>
    </row>
    <row r="116" spans="1:1" ht="15.75" customHeight="1" x14ac:dyDescent="0.35">
      <c r="A116" s="140"/>
    </row>
    <row r="117" spans="1:1" ht="15.75" customHeight="1" x14ac:dyDescent="0.35">
      <c r="A117" s="140"/>
    </row>
    <row r="118" spans="1:1" ht="15.75" customHeight="1" x14ac:dyDescent="0.35">
      <c r="A118" s="140"/>
    </row>
    <row r="119" spans="1:1" ht="15.75" customHeight="1" x14ac:dyDescent="0.35">
      <c r="A119" s="140"/>
    </row>
    <row r="120" spans="1:1" ht="15.75" customHeight="1" x14ac:dyDescent="0.35">
      <c r="A120" s="140"/>
    </row>
    <row r="121" spans="1:1" ht="15.75" customHeight="1" x14ac:dyDescent="0.35">
      <c r="A121" s="140"/>
    </row>
    <row r="122" spans="1:1" ht="15.75" customHeight="1" x14ac:dyDescent="0.35">
      <c r="A122" s="140"/>
    </row>
    <row r="123" spans="1:1" ht="15.75" customHeight="1" x14ac:dyDescent="0.35">
      <c r="A123" s="140"/>
    </row>
    <row r="124" spans="1:1" ht="15.75" customHeight="1" x14ac:dyDescent="0.35">
      <c r="A124" s="140"/>
    </row>
    <row r="125" spans="1:1" ht="15.75" customHeight="1" x14ac:dyDescent="0.35">
      <c r="A125" s="140"/>
    </row>
    <row r="126" spans="1:1" ht="15.75" customHeight="1" x14ac:dyDescent="0.35">
      <c r="A126" s="140"/>
    </row>
    <row r="127" spans="1:1" ht="15.75" customHeight="1" x14ac:dyDescent="0.35">
      <c r="A127" s="140"/>
    </row>
    <row r="128" spans="1:1" ht="15.75" customHeight="1" x14ac:dyDescent="0.35">
      <c r="A128" s="140"/>
    </row>
    <row r="129" spans="1:1" ht="15.75" customHeight="1" x14ac:dyDescent="0.35">
      <c r="A129" s="140"/>
    </row>
    <row r="130" spans="1:1" ht="15.75" customHeight="1" x14ac:dyDescent="0.35">
      <c r="A130" s="140"/>
    </row>
    <row r="131" spans="1:1" ht="15.75" customHeight="1" x14ac:dyDescent="0.35">
      <c r="A131" s="140"/>
    </row>
    <row r="132" spans="1:1" ht="15.75" customHeight="1" x14ac:dyDescent="0.35">
      <c r="A132" s="140"/>
    </row>
    <row r="133" spans="1:1" ht="15.75" customHeight="1" x14ac:dyDescent="0.35">
      <c r="A133" s="140"/>
    </row>
    <row r="134" spans="1:1" ht="15.75" customHeight="1" x14ac:dyDescent="0.35">
      <c r="A134" s="140"/>
    </row>
    <row r="135" spans="1:1" ht="15.75" customHeight="1" x14ac:dyDescent="0.35">
      <c r="A135" s="140"/>
    </row>
    <row r="136" spans="1:1" ht="15.75" customHeight="1" x14ac:dyDescent="0.35">
      <c r="A136" s="140"/>
    </row>
    <row r="137" spans="1:1" ht="15.75" customHeight="1" x14ac:dyDescent="0.35">
      <c r="A137" s="140"/>
    </row>
    <row r="138" spans="1:1" ht="15.75" customHeight="1" x14ac:dyDescent="0.35">
      <c r="A138" s="140"/>
    </row>
    <row r="139" spans="1:1" ht="15.75" customHeight="1" x14ac:dyDescent="0.35">
      <c r="A139" s="140"/>
    </row>
    <row r="140" spans="1:1" ht="15.75" customHeight="1" x14ac:dyDescent="0.35">
      <c r="A140" s="140"/>
    </row>
    <row r="141" spans="1:1" ht="15.75" customHeight="1" x14ac:dyDescent="0.35">
      <c r="A141" s="140"/>
    </row>
    <row r="142" spans="1:1" ht="15.75" customHeight="1" x14ac:dyDescent="0.35">
      <c r="A142" s="140"/>
    </row>
    <row r="143" spans="1:1" ht="15.75" customHeight="1" x14ac:dyDescent="0.35">
      <c r="A143" s="140"/>
    </row>
    <row r="144" spans="1:1" ht="15.75" customHeight="1" x14ac:dyDescent="0.35">
      <c r="A144" s="140"/>
    </row>
    <row r="145" spans="1:1" ht="15.75" customHeight="1" x14ac:dyDescent="0.35">
      <c r="A145" s="140"/>
    </row>
    <row r="146" spans="1:1" ht="15.75" customHeight="1" x14ac:dyDescent="0.35">
      <c r="A146" s="140"/>
    </row>
    <row r="147" spans="1:1" ht="15.75" customHeight="1" x14ac:dyDescent="0.35">
      <c r="A147" s="140"/>
    </row>
    <row r="148" spans="1:1" ht="15.75" customHeight="1" x14ac:dyDescent="0.35">
      <c r="A148" s="140"/>
    </row>
    <row r="149" spans="1:1" ht="15.75" customHeight="1" x14ac:dyDescent="0.35">
      <c r="A149" s="140"/>
    </row>
    <row r="150" spans="1:1" ht="15.75" customHeight="1" x14ac:dyDescent="0.35">
      <c r="A150" s="140"/>
    </row>
    <row r="151" spans="1:1" ht="15.75" customHeight="1" x14ac:dyDescent="0.35">
      <c r="A151" s="140"/>
    </row>
    <row r="152" spans="1:1" ht="15.75" customHeight="1" x14ac:dyDescent="0.35">
      <c r="A152" s="140"/>
    </row>
    <row r="153" spans="1:1" ht="15.75" customHeight="1" x14ac:dyDescent="0.35">
      <c r="A153" s="140"/>
    </row>
    <row r="154" spans="1:1" ht="15.75" customHeight="1" x14ac:dyDescent="0.35">
      <c r="A154" s="140"/>
    </row>
    <row r="155" spans="1:1" ht="15.75" customHeight="1" x14ac:dyDescent="0.35">
      <c r="A155" s="140"/>
    </row>
    <row r="156" spans="1:1" ht="15.75" customHeight="1" x14ac:dyDescent="0.35">
      <c r="A156" s="140"/>
    </row>
    <row r="157" spans="1:1" ht="15.75" customHeight="1" x14ac:dyDescent="0.35">
      <c r="A157" s="140"/>
    </row>
    <row r="158" spans="1:1" ht="15.75" customHeight="1" x14ac:dyDescent="0.35">
      <c r="A158" s="140"/>
    </row>
    <row r="159" spans="1:1" ht="15.75" customHeight="1" x14ac:dyDescent="0.35">
      <c r="A159" s="140"/>
    </row>
    <row r="160" spans="1:1" ht="15.75" customHeight="1" x14ac:dyDescent="0.35">
      <c r="A160" s="140"/>
    </row>
    <row r="161" spans="1:1" ht="15.75" customHeight="1" x14ac:dyDescent="0.35">
      <c r="A161" s="140"/>
    </row>
    <row r="162" spans="1:1" ht="15.75" customHeight="1" x14ac:dyDescent="0.35">
      <c r="A162" s="140"/>
    </row>
    <row r="163" spans="1:1" ht="15.75" customHeight="1" x14ac:dyDescent="0.35">
      <c r="A163" s="140"/>
    </row>
    <row r="164" spans="1:1" ht="15.75" customHeight="1" x14ac:dyDescent="0.35">
      <c r="A164" s="140"/>
    </row>
    <row r="165" spans="1:1" ht="15.75" customHeight="1" x14ac:dyDescent="0.35">
      <c r="A165" s="140"/>
    </row>
    <row r="166" spans="1:1" ht="15.75" customHeight="1" x14ac:dyDescent="0.35">
      <c r="A166" s="140"/>
    </row>
    <row r="167" spans="1:1" ht="15.75" customHeight="1" x14ac:dyDescent="0.35">
      <c r="A167" s="140"/>
    </row>
    <row r="168" spans="1:1" ht="15.75" customHeight="1" x14ac:dyDescent="0.35">
      <c r="A168" s="140"/>
    </row>
    <row r="169" spans="1:1" ht="15.75" customHeight="1" x14ac:dyDescent="0.35">
      <c r="A169" s="140"/>
    </row>
    <row r="170" spans="1:1" ht="15.75" customHeight="1" x14ac:dyDescent="0.35">
      <c r="A170" s="140"/>
    </row>
    <row r="171" spans="1:1" ht="15.75" customHeight="1" x14ac:dyDescent="0.35">
      <c r="A171" s="140"/>
    </row>
    <row r="172" spans="1:1" ht="15.75" customHeight="1" x14ac:dyDescent="0.35">
      <c r="A172" s="140"/>
    </row>
    <row r="173" spans="1:1" ht="15.75" customHeight="1" x14ac:dyDescent="0.35">
      <c r="A173" s="140"/>
    </row>
    <row r="174" spans="1:1" ht="15.75" customHeight="1" x14ac:dyDescent="0.35">
      <c r="A174" s="140"/>
    </row>
    <row r="175" spans="1:1" ht="15.75" customHeight="1" x14ac:dyDescent="0.35">
      <c r="A175" s="140"/>
    </row>
    <row r="176" spans="1:1" ht="15.75" customHeight="1" x14ac:dyDescent="0.35">
      <c r="A176" s="140"/>
    </row>
    <row r="177" spans="1:1" ht="15.75" customHeight="1" x14ac:dyDescent="0.35">
      <c r="A177" s="140"/>
    </row>
    <row r="178" spans="1:1" ht="15.75" customHeight="1" x14ac:dyDescent="0.35">
      <c r="A178" s="140"/>
    </row>
    <row r="179" spans="1:1" ht="15.75" customHeight="1" x14ac:dyDescent="0.35">
      <c r="A179" s="140"/>
    </row>
    <row r="180" spans="1:1" ht="15.75" customHeight="1" x14ac:dyDescent="0.35">
      <c r="A180" s="140"/>
    </row>
    <row r="181" spans="1:1" ht="15.75" customHeight="1" x14ac:dyDescent="0.35">
      <c r="A181" s="140"/>
    </row>
    <row r="182" spans="1:1" ht="15.75" customHeight="1" x14ac:dyDescent="0.35">
      <c r="A182" s="140"/>
    </row>
    <row r="183" spans="1:1" ht="15.75" customHeight="1" x14ac:dyDescent="0.35">
      <c r="A183" s="140"/>
    </row>
    <row r="184" spans="1:1" ht="15.75" customHeight="1" x14ac:dyDescent="0.35">
      <c r="A184" s="140"/>
    </row>
    <row r="185" spans="1:1" ht="15.75" customHeight="1" x14ac:dyDescent="0.35">
      <c r="A185" s="140"/>
    </row>
    <row r="186" spans="1:1" ht="15.75" customHeight="1" x14ac:dyDescent="0.35">
      <c r="A186" s="140"/>
    </row>
    <row r="187" spans="1:1" ht="15.75" customHeight="1" x14ac:dyDescent="0.35">
      <c r="A187" s="140"/>
    </row>
    <row r="188" spans="1:1" ht="15.75" customHeight="1" x14ac:dyDescent="0.35">
      <c r="A188" s="140"/>
    </row>
    <row r="189" spans="1:1" ht="15.75" customHeight="1" x14ac:dyDescent="0.35">
      <c r="A189" s="140"/>
    </row>
    <row r="190" spans="1:1" ht="15.75" customHeight="1" x14ac:dyDescent="0.35">
      <c r="A190" s="140"/>
    </row>
    <row r="191" spans="1:1" ht="15.75" customHeight="1" x14ac:dyDescent="0.35">
      <c r="A191" s="140"/>
    </row>
    <row r="192" spans="1:1" ht="15.75" customHeight="1" x14ac:dyDescent="0.35">
      <c r="A192" s="140"/>
    </row>
    <row r="193" spans="1:1" ht="15.75" customHeight="1" x14ac:dyDescent="0.35">
      <c r="A193" s="140"/>
    </row>
    <row r="194" spans="1:1" ht="15.75" customHeight="1" x14ac:dyDescent="0.35">
      <c r="A194" s="140"/>
    </row>
    <row r="195" spans="1:1" ht="15.75" customHeight="1" x14ac:dyDescent="0.35">
      <c r="A195" s="140"/>
    </row>
    <row r="196" spans="1:1" ht="15.75" customHeight="1" x14ac:dyDescent="0.35">
      <c r="A196" s="140"/>
    </row>
    <row r="197" spans="1:1" ht="15.75" customHeight="1" x14ac:dyDescent="0.35">
      <c r="A197" s="140"/>
    </row>
    <row r="198" spans="1:1" ht="15.75" customHeight="1" x14ac:dyDescent="0.35">
      <c r="A198" s="140"/>
    </row>
    <row r="199" spans="1:1" ht="15.75" customHeight="1" x14ac:dyDescent="0.35">
      <c r="A199" s="140"/>
    </row>
    <row r="200" spans="1:1" ht="15.75" customHeight="1" x14ac:dyDescent="0.35">
      <c r="A200" s="140"/>
    </row>
    <row r="201" spans="1:1" ht="15.75" customHeight="1" x14ac:dyDescent="0.35">
      <c r="A201" s="140"/>
    </row>
    <row r="202" spans="1:1" ht="15.75" customHeight="1" x14ac:dyDescent="0.35">
      <c r="A202" s="140"/>
    </row>
    <row r="203" spans="1:1" ht="15.75" customHeight="1" x14ac:dyDescent="0.35">
      <c r="A203" s="140"/>
    </row>
    <row r="204" spans="1:1" ht="15.75" customHeight="1" x14ac:dyDescent="0.35">
      <c r="A204" s="140"/>
    </row>
    <row r="205" spans="1:1" ht="15.75" customHeight="1" x14ac:dyDescent="0.35">
      <c r="A205" s="140"/>
    </row>
    <row r="206" spans="1:1" ht="15.75" customHeight="1" x14ac:dyDescent="0.35">
      <c r="A206" s="140"/>
    </row>
    <row r="207" spans="1:1" ht="15.75" customHeight="1" x14ac:dyDescent="0.35">
      <c r="A207" s="140"/>
    </row>
    <row r="208" spans="1:1" ht="15.75" customHeight="1" x14ac:dyDescent="0.35">
      <c r="A208" s="140"/>
    </row>
    <row r="209" spans="1:1" ht="15.75" customHeight="1" x14ac:dyDescent="0.35">
      <c r="A209" s="140"/>
    </row>
    <row r="210" spans="1:1" ht="15.75" customHeight="1" x14ac:dyDescent="0.35">
      <c r="A210" s="140"/>
    </row>
    <row r="211" spans="1:1" ht="15.75" customHeight="1" x14ac:dyDescent="0.35">
      <c r="A211" s="140"/>
    </row>
    <row r="212" spans="1:1" ht="15.75" customHeight="1" x14ac:dyDescent="0.35">
      <c r="A212" s="140"/>
    </row>
    <row r="213" spans="1:1" ht="15.75" customHeight="1" x14ac:dyDescent="0.35">
      <c r="A213" s="140"/>
    </row>
    <row r="214" spans="1:1" ht="15.75" customHeight="1" x14ac:dyDescent="0.35">
      <c r="A214" s="140"/>
    </row>
    <row r="215" spans="1:1" ht="15.75" customHeight="1" x14ac:dyDescent="0.35">
      <c r="A215" s="140"/>
    </row>
    <row r="216" spans="1:1" ht="15.75" customHeight="1" x14ac:dyDescent="0.35">
      <c r="A216" s="140"/>
    </row>
    <row r="217" spans="1:1" ht="15.75" customHeight="1" x14ac:dyDescent="0.35">
      <c r="A217" s="140"/>
    </row>
    <row r="218" spans="1:1" ht="15.75" customHeight="1" x14ac:dyDescent="0.35">
      <c r="A218" s="140"/>
    </row>
    <row r="219" spans="1:1" ht="15.75" customHeight="1" x14ac:dyDescent="0.35">
      <c r="A219" s="140"/>
    </row>
    <row r="220" spans="1:1" ht="15.75" customHeight="1" x14ac:dyDescent="0.35">
      <c r="A220" s="140"/>
    </row>
    <row r="221" spans="1:1" ht="15.75" customHeight="1" x14ac:dyDescent="0.35">
      <c r="A221" s="140"/>
    </row>
    <row r="222" spans="1:1" ht="15.75" customHeight="1" x14ac:dyDescent="0.35">
      <c r="A222" s="140"/>
    </row>
    <row r="223" spans="1:1" ht="15.75" customHeight="1" x14ac:dyDescent="0.35">
      <c r="A223" s="140"/>
    </row>
    <row r="224" spans="1:1" ht="15.75" customHeight="1" x14ac:dyDescent="0.35">
      <c r="A224" s="140"/>
    </row>
    <row r="225" spans="1:1" ht="15.75" customHeight="1" x14ac:dyDescent="0.35">
      <c r="A225" s="140"/>
    </row>
    <row r="226" spans="1:1" ht="15.75" customHeight="1" x14ac:dyDescent="0.35">
      <c r="A226" s="140"/>
    </row>
    <row r="227" spans="1:1" ht="15.75" customHeight="1" x14ac:dyDescent="0.35">
      <c r="A227" s="140"/>
    </row>
    <row r="228" spans="1:1" ht="15.75" customHeight="1" x14ac:dyDescent="0.35">
      <c r="A228" s="140"/>
    </row>
    <row r="229" spans="1:1" ht="15.75" customHeight="1" x14ac:dyDescent="0.35">
      <c r="A229" s="140"/>
    </row>
    <row r="230" spans="1:1" ht="15.75" customHeight="1" x14ac:dyDescent="0.35">
      <c r="A230" s="140"/>
    </row>
    <row r="231" spans="1:1" ht="15.75" customHeight="1" x14ac:dyDescent="0.35">
      <c r="A231" s="140"/>
    </row>
    <row r="232" spans="1:1" ht="15.75" customHeight="1" x14ac:dyDescent="0.35">
      <c r="A232" s="140"/>
    </row>
    <row r="233" spans="1:1" ht="15.75" customHeight="1" x14ac:dyDescent="0.35">
      <c r="A233" s="140"/>
    </row>
    <row r="234" spans="1:1" ht="15.75" customHeight="1" x14ac:dyDescent="0.35">
      <c r="A234" s="140"/>
    </row>
    <row r="235" spans="1:1" ht="15.75" customHeight="1" x14ac:dyDescent="0.35">
      <c r="A235" s="140"/>
    </row>
    <row r="236" spans="1:1" ht="15.75" customHeight="1" x14ac:dyDescent="0.35">
      <c r="A236" s="140"/>
    </row>
    <row r="237" spans="1:1" ht="15.75" customHeight="1" x14ac:dyDescent="0.35">
      <c r="A237" s="140"/>
    </row>
    <row r="238" spans="1:1" ht="15.75" customHeight="1" x14ac:dyDescent="0.35">
      <c r="A238" s="140"/>
    </row>
    <row r="239" spans="1:1" ht="15.75" customHeight="1" x14ac:dyDescent="0.35">
      <c r="A239" s="140"/>
    </row>
    <row r="240" spans="1:1" ht="15.75" customHeight="1" x14ac:dyDescent="0.35">
      <c r="A240" s="140"/>
    </row>
    <row r="241" spans="1:1" ht="15.75" customHeight="1" x14ac:dyDescent="0.35">
      <c r="A241" s="140"/>
    </row>
    <row r="242" spans="1:1" ht="15.75" customHeight="1" x14ac:dyDescent="0.35">
      <c r="A242" s="140"/>
    </row>
    <row r="243" spans="1:1" ht="15.75" customHeight="1" x14ac:dyDescent="0.35">
      <c r="A243" s="140"/>
    </row>
    <row r="244" spans="1:1" ht="15.75" customHeight="1" x14ac:dyDescent="0.35">
      <c r="A244" s="140"/>
    </row>
    <row r="245" spans="1:1" ht="15.75" customHeight="1" x14ac:dyDescent="0.35">
      <c r="A245" s="140"/>
    </row>
    <row r="246" spans="1:1" ht="15.75" customHeight="1" x14ac:dyDescent="0.35">
      <c r="A246" s="140"/>
    </row>
    <row r="247" spans="1:1" ht="15.75" customHeight="1" x14ac:dyDescent="0.35">
      <c r="A247" s="140"/>
    </row>
    <row r="248" spans="1:1" ht="15.75" customHeight="1" x14ac:dyDescent="0.35"/>
    <row r="249" spans="1:1" ht="15.75" customHeight="1" x14ac:dyDescent="0.35"/>
    <row r="250" spans="1:1" ht="15.75" customHeight="1" x14ac:dyDescent="0.35"/>
    <row r="251" spans="1:1" ht="15.75" customHeight="1" x14ac:dyDescent="0.35"/>
    <row r="252" spans="1:1" ht="15.75" customHeight="1" x14ac:dyDescent="0.35"/>
    <row r="253" spans="1:1" ht="15.75" customHeight="1" x14ac:dyDescent="0.35"/>
    <row r="254" spans="1:1" ht="15.75" customHeight="1" x14ac:dyDescent="0.35"/>
    <row r="255" spans="1:1" ht="15.75" customHeight="1" x14ac:dyDescent="0.35"/>
    <row r="256" spans="1: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  <row r="924" s="2" customFormat="1" ht="15.75" customHeight="1" x14ac:dyDescent="0.35"/>
    <row r="925" s="2" customFormat="1" ht="15.75" customHeight="1" x14ac:dyDescent="0.35"/>
    <row r="926" s="2" customFormat="1" ht="15.75" customHeight="1" x14ac:dyDescent="0.35"/>
    <row r="927" s="2" customFormat="1" ht="15.75" customHeight="1" x14ac:dyDescent="0.35"/>
    <row r="928" s="2" customFormat="1" ht="15.75" customHeight="1" x14ac:dyDescent="0.35"/>
    <row r="929" s="2" customFormat="1" ht="15.75" customHeight="1" x14ac:dyDescent="0.35"/>
    <row r="930" s="2" customFormat="1" ht="15.75" customHeight="1" x14ac:dyDescent="0.35"/>
  </sheetData>
  <phoneticPr fontId="3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B6D7A8"/>
    <outlinePr summaryBelow="0" summaryRight="0"/>
    <pageSetUpPr fitToPage="1"/>
  </sheetPr>
  <dimension ref="A2:K108"/>
  <sheetViews>
    <sheetView showGridLines="0" topLeftCell="A43" zoomScaleNormal="100" workbookViewId="0">
      <selection activeCell="I62" sqref="I62"/>
    </sheetView>
  </sheetViews>
  <sheetFormatPr defaultColWidth="12.33203125" defaultRowHeight="15" customHeight="1" x14ac:dyDescent="0.35"/>
  <cols>
    <col min="1" max="1" width="2.33203125" style="2" customWidth="1"/>
    <col min="2" max="2" width="28.6640625" style="2" customWidth="1"/>
    <col min="3" max="6" width="18.6640625" style="2" customWidth="1"/>
    <col min="7" max="7" width="2" style="2" customWidth="1"/>
    <col min="8" max="9" width="18.6640625" style="2" customWidth="1"/>
    <col min="10" max="10" width="4.6640625" style="2" customWidth="1"/>
    <col min="11" max="11" width="38.796875" style="2" customWidth="1"/>
    <col min="12" max="16384" width="12.33203125" style="2"/>
  </cols>
  <sheetData>
    <row r="2" spans="1:11" ht="15" customHeight="1" x14ac:dyDescent="0.35">
      <c r="A2" s="163"/>
      <c r="B2" s="164" t="s">
        <v>263</v>
      </c>
      <c r="C2" s="164"/>
      <c r="D2" s="165"/>
      <c r="E2" s="3"/>
      <c r="F2" s="7"/>
      <c r="G2" s="7"/>
      <c r="H2" s="7"/>
      <c r="I2" s="3"/>
      <c r="K2" s="166" t="s">
        <v>7</v>
      </c>
    </row>
    <row r="3" spans="1:11" ht="15" customHeight="1" x14ac:dyDescent="0.35">
      <c r="B3" s="9" t="s">
        <v>19</v>
      </c>
      <c r="C3" s="3"/>
      <c r="D3" s="167">
        <f>Inputs!C41</f>
        <v>570865</v>
      </c>
      <c r="E3" s="168" t="str">
        <f>IF((C49-I49)=D3,"", "Error!")</f>
        <v/>
      </c>
      <c r="F3" s="3"/>
      <c r="G3" s="3"/>
      <c r="H3" s="169" t="s">
        <v>20</v>
      </c>
      <c r="I3" s="170">
        <f>D3-D4</f>
        <v>568391</v>
      </c>
      <c r="K3" s="75"/>
    </row>
    <row r="4" spans="1:11" ht="15" customHeight="1" x14ac:dyDescent="0.35">
      <c r="B4" s="9" t="s">
        <v>21</v>
      </c>
      <c r="C4" s="3"/>
      <c r="D4" s="149">
        <f>Inputs!C42</f>
        <v>2474</v>
      </c>
      <c r="E4" s="171"/>
      <c r="F4" s="3"/>
      <c r="G4" s="3"/>
      <c r="H4" s="172"/>
      <c r="I4" s="155"/>
      <c r="K4" s="75"/>
    </row>
    <row r="5" spans="1:11" ht="15" customHeight="1" x14ac:dyDescent="0.35">
      <c r="C5" s="3"/>
      <c r="D5" s="3"/>
      <c r="E5" s="173" t="s">
        <v>22</v>
      </c>
      <c r="H5" s="2" t="s">
        <v>23</v>
      </c>
      <c r="I5" s="174" t="e">
        <f>C28/I28</f>
        <v>#DIV/0!</v>
      </c>
      <c r="K5" s="75"/>
    </row>
    <row r="6" spans="1:11" ht="15" customHeight="1" thickBot="1" x14ac:dyDescent="0.4">
      <c r="B6" s="56" t="str">
        <f>"Adj. Net Asset in "&amp;Dashboard!G6</f>
        <v>Adj. Net Asset in CNY</v>
      </c>
      <c r="C6" s="3"/>
      <c r="D6" s="175">
        <f>(E49-I49-E53)</f>
        <v>-6228303</v>
      </c>
      <c r="E6" s="176">
        <f>1-D6/D3</f>
        <v>11.910290524029325</v>
      </c>
      <c r="F6" s="3"/>
      <c r="G6" s="3"/>
      <c r="H6" s="2" t="s">
        <v>24</v>
      </c>
      <c r="I6" s="174" t="e">
        <f>(C24+C25)/I28</f>
        <v>#DIV/0!</v>
      </c>
      <c r="J6" s="3"/>
      <c r="K6" s="75"/>
    </row>
    <row r="7" spans="1:11" ht="15" customHeight="1" thickTop="1" x14ac:dyDescent="0.35">
      <c r="B7" s="57" t="str">
        <f>"Adj. Net Asset per Shares in "&amp;Dashboard!H3</f>
        <v>Adj. Net Asset per Shares in HKD</v>
      </c>
      <c r="C7" s="3"/>
      <c r="D7" s="177">
        <f>MAX((D6*Exchange_Rate*Data!C4)/Common_Shares, 0)</f>
        <v>0</v>
      </c>
      <c r="E7" s="173" t="str">
        <f>Dashboard!H3</f>
        <v>HKD</v>
      </c>
      <c r="H7" s="2" t="s">
        <v>25</v>
      </c>
      <c r="I7" s="174" t="e">
        <f>C24/I28</f>
        <v>#DIV/0!</v>
      </c>
      <c r="J7" s="3"/>
      <c r="K7" s="178"/>
    </row>
    <row r="8" spans="1:11" ht="15" customHeight="1" x14ac:dyDescent="0.35">
      <c r="C8" s="3"/>
      <c r="D8" s="3"/>
      <c r="E8" s="3"/>
      <c r="K8" s="75"/>
    </row>
    <row r="9" spans="1:11" ht="15" customHeight="1" x14ac:dyDescent="0.35">
      <c r="A9" s="163"/>
      <c r="B9" s="179" t="s">
        <v>26</v>
      </c>
      <c r="C9" s="8"/>
      <c r="D9" s="180">
        <f>Inputs!C14</f>
        <v>45473</v>
      </c>
      <c r="E9" s="138" t="str">
        <f>IF(MONTH(D9)=MONTH(Data!C3),"FY","Quarter")</f>
        <v>Quarter</v>
      </c>
      <c r="F9" s="8"/>
      <c r="G9" s="8"/>
      <c r="H9" s="8"/>
      <c r="I9" s="8"/>
      <c r="K9" s="75"/>
    </row>
    <row r="10" spans="1:11" ht="15" customHeight="1" x14ac:dyDescent="0.35">
      <c r="B10" s="88" t="s">
        <v>262</v>
      </c>
      <c r="C10" s="85" t="s">
        <v>27</v>
      </c>
      <c r="D10" s="85" t="s">
        <v>171</v>
      </c>
      <c r="E10" s="85" t="s">
        <v>28</v>
      </c>
      <c r="F10" s="90" t="s">
        <v>29</v>
      </c>
      <c r="G10" s="3"/>
      <c r="H10" s="88" t="s">
        <v>275</v>
      </c>
      <c r="I10" s="85" t="s">
        <v>27</v>
      </c>
      <c r="K10" s="75"/>
    </row>
    <row r="11" spans="1:11" ht="15" customHeight="1" x14ac:dyDescent="0.35">
      <c r="B11" s="9" t="s">
        <v>30</v>
      </c>
      <c r="C11" s="181">
        <f>Inputs!C48</f>
        <v>0</v>
      </c>
      <c r="D11" s="264">
        <f>Inputs!D48</f>
        <v>0.9</v>
      </c>
      <c r="E11" s="182">
        <f t="shared" ref="E11:E22" si="0">C11*D11</f>
        <v>0</v>
      </c>
      <c r="F11" s="266"/>
      <c r="G11" s="3"/>
      <c r="H11" s="9" t="s">
        <v>31</v>
      </c>
      <c r="I11" s="181">
        <f>Inputs!C73</f>
        <v>0</v>
      </c>
      <c r="J11" s="3"/>
      <c r="K11" s="75"/>
    </row>
    <row r="12" spans="1:11" ht="11.65" x14ac:dyDescent="0.35">
      <c r="B12" s="2" t="s">
        <v>125</v>
      </c>
      <c r="C12" s="181">
        <f>Inputs!C49</f>
        <v>0</v>
      </c>
      <c r="D12" s="264">
        <f>Inputs!D49</f>
        <v>0.8</v>
      </c>
      <c r="E12" s="182">
        <f t="shared" si="0"/>
        <v>0</v>
      </c>
      <c r="F12" s="266"/>
      <c r="G12" s="3"/>
      <c r="H12" s="9" t="s">
        <v>32</v>
      </c>
      <c r="I12" s="181">
        <f>Inputs!C74</f>
        <v>0</v>
      </c>
      <c r="J12" s="3"/>
      <c r="K12" s="75"/>
    </row>
    <row r="13" spans="1:11" ht="11.65" x14ac:dyDescent="0.35">
      <c r="B13" s="9" t="s">
        <v>107</v>
      </c>
      <c r="C13" s="181">
        <f>Inputs!C50</f>
        <v>0</v>
      </c>
      <c r="D13" s="264">
        <f>Inputs!D50</f>
        <v>0.6</v>
      </c>
      <c r="E13" s="182">
        <f t="shared" si="0"/>
        <v>0</v>
      </c>
      <c r="F13" s="266"/>
      <c r="G13" s="3"/>
      <c r="H13" s="9" t="s">
        <v>33</v>
      </c>
      <c r="I13" s="181">
        <f>Inputs!C75</f>
        <v>0</v>
      </c>
      <c r="J13" s="3"/>
      <c r="K13" s="183"/>
    </row>
    <row r="14" spans="1:11" ht="11.65" x14ac:dyDescent="0.35">
      <c r="B14" s="9" t="s">
        <v>34</v>
      </c>
      <c r="C14" s="181">
        <f>Inputs!C51</f>
        <v>0</v>
      </c>
      <c r="D14" s="264">
        <f>Inputs!D51</f>
        <v>0.6</v>
      </c>
      <c r="E14" s="182">
        <f t="shared" si="0"/>
        <v>0</v>
      </c>
      <c r="F14" s="266"/>
      <c r="G14" s="3"/>
      <c r="H14" s="8" t="s">
        <v>35</v>
      </c>
      <c r="I14" s="184">
        <f>Inputs!C76</f>
        <v>0</v>
      </c>
      <c r="J14" s="3"/>
      <c r="K14" s="185"/>
    </row>
    <row r="15" spans="1:11" ht="11.65" x14ac:dyDescent="0.35">
      <c r="B15" s="9" t="s">
        <v>36</v>
      </c>
      <c r="C15" s="181">
        <f>Inputs!C52</f>
        <v>0</v>
      </c>
      <c r="D15" s="264">
        <f>Inputs!D52</f>
        <v>0.5</v>
      </c>
      <c r="E15" s="182">
        <f t="shared" si="0"/>
        <v>0</v>
      </c>
      <c r="F15" s="266"/>
      <c r="G15" s="3"/>
      <c r="H15" s="2" t="s">
        <v>46</v>
      </c>
      <c r="I15" s="186">
        <f>SUM(I11:I14)</f>
        <v>0</v>
      </c>
      <c r="J15" s="3"/>
    </row>
    <row r="16" spans="1:11" ht="11.65" x14ac:dyDescent="0.35">
      <c r="B16" s="2" t="s">
        <v>143</v>
      </c>
      <c r="C16" s="181">
        <f>Inputs!C53</f>
        <v>0</v>
      </c>
      <c r="D16" s="264">
        <f>Inputs!D53</f>
        <v>0.6</v>
      </c>
      <c r="E16" s="182">
        <f t="shared" si="0"/>
        <v>0</v>
      </c>
      <c r="F16" s="266"/>
      <c r="G16" s="187"/>
      <c r="H16" s="9"/>
      <c r="I16" s="181"/>
      <c r="J16" s="3"/>
    </row>
    <row r="17" spans="2:10" ht="11.65" x14ac:dyDescent="0.35">
      <c r="B17" s="9" t="s">
        <v>108</v>
      </c>
      <c r="C17" s="181">
        <f>Inputs!C54</f>
        <v>0</v>
      </c>
      <c r="D17" s="264">
        <f>Inputs!D54</f>
        <v>0.1</v>
      </c>
      <c r="E17" s="182">
        <f t="shared" si="0"/>
        <v>0</v>
      </c>
      <c r="F17" s="266"/>
      <c r="G17" s="3"/>
      <c r="H17" s="9"/>
      <c r="I17" s="181"/>
      <c r="J17" s="3"/>
    </row>
    <row r="18" spans="2:10" ht="11.65" x14ac:dyDescent="0.35">
      <c r="B18" s="9" t="s">
        <v>39</v>
      </c>
      <c r="C18" s="181">
        <f>Inputs!C55</f>
        <v>0</v>
      </c>
      <c r="D18" s="264">
        <f>Inputs!D55</f>
        <v>0.5</v>
      </c>
      <c r="E18" s="182">
        <f t="shared" si="0"/>
        <v>0</v>
      </c>
      <c r="F18" s="266"/>
      <c r="G18" s="3"/>
      <c r="H18" s="3"/>
      <c r="I18" s="3"/>
    </row>
    <row r="19" spans="2:10" ht="11.65" x14ac:dyDescent="0.35">
      <c r="B19" s="2" t="s">
        <v>40</v>
      </c>
      <c r="C19" s="181">
        <f>Inputs!C56</f>
        <v>0</v>
      </c>
      <c r="D19" s="264">
        <f>Inputs!D56</f>
        <v>0.6</v>
      </c>
      <c r="E19" s="182">
        <f t="shared" si="0"/>
        <v>0</v>
      </c>
      <c r="F19" s="266" t="str">
        <f>Inputs!E56</f>
        <v>N</v>
      </c>
      <c r="G19" s="187">
        <f>IF(F19="Y",0,1)</f>
        <v>1</v>
      </c>
    </row>
    <row r="20" spans="2:10" ht="11.65" x14ac:dyDescent="0.35">
      <c r="B20" s="9" t="s">
        <v>110</v>
      </c>
      <c r="C20" s="181">
        <f>Inputs!C57</f>
        <v>0</v>
      </c>
      <c r="D20" s="264">
        <f>Inputs!D57</f>
        <v>0.6</v>
      </c>
      <c r="E20" s="182">
        <f t="shared" si="0"/>
        <v>0</v>
      </c>
      <c r="F20" s="266" t="str">
        <f>Inputs!E57</f>
        <v>Y</v>
      </c>
      <c r="G20" s="187">
        <f>IF(F20="Y",0,1)</f>
        <v>0</v>
      </c>
      <c r="H20" s="9"/>
      <c r="I20" s="181"/>
    </row>
    <row r="21" spans="2:10" ht="11.65" x14ac:dyDescent="0.35">
      <c r="B21" s="9" t="s">
        <v>42</v>
      </c>
      <c r="C21" s="181">
        <f>Inputs!C58</f>
        <v>0</v>
      </c>
      <c r="D21" s="264">
        <f>Inputs!D58</f>
        <v>0.9</v>
      </c>
      <c r="E21" s="182">
        <f t="shared" si="0"/>
        <v>0</v>
      </c>
      <c r="F21" s="266"/>
      <c r="G21" s="3"/>
      <c r="H21" s="9"/>
      <c r="I21" s="181"/>
    </row>
    <row r="22" spans="2:10" ht="15" customHeight="1" x14ac:dyDescent="0.35">
      <c r="B22" s="9" t="s">
        <v>43</v>
      </c>
      <c r="C22" s="181">
        <f>Inputs!C59</f>
        <v>0</v>
      </c>
      <c r="D22" s="264">
        <f>Inputs!D59</f>
        <v>0.05</v>
      </c>
      <c r="E22" s="182">
        <f t="shared" si="0"/>
        <v>0</v>
      </c>
      <c r="F22" s="266"/>
      <c r="G22" s="3"/>
      <c r="H22" s="9" t="s">
        <v>37</v>
      </c>
      <c r="I22" s="188">
        <f>I28-SUM(I11:I14)</f>
        <v>0</v>
      </c>
    </row>
    <row r="23" spans="2:10" ht="15" customHeight="1" x14ac:dyDescent="0.35">
      <c r="C23" s="3"/>
      <c r="D23" s="3"/>
      <c r="E23" s="3"/>
      <c r="F23" s="90" t="s">
        <v>44</v>
      </c>
      <c r="G23" s="3"/>
    </row>
    <row r="24" spans="2:10" ht="15" customHeight="1" x14ac:dyDescent="0.35">
      <c r="B24" s="189" t="s">
        <v>45</v>
      </c>
      <c r="C24" s="190">
        <f>SUM(C11:C14)</f>
        <v>0</v>
      </c>
      <c r="D24" s="191">
        <f>IF(E24=0,0,E24/C24)</f>
        <v>0</v>
      </c>
      <c r="E24" s="182">
        <f>SUM(E11:E14)</f>
        <v>0</v>
      </c>
      <c r="F24" s="192" t="e">
        <f>E24/$E$28</f>
        <v>#DIV/0!</v>
      </c>
      <c r="G24" s="3"/>
    </row>
    <row r="25" spans="2:10" ht="15" customHeight="1" x14ac:dyDescent="0.35">
      <c r="B25" s="189" t="s">
        <v>47</v>
      </c>
      <c r="C25" s="190">
        <f>SUM(C15:C17)</f>
        <v>0</v>
      </c>
      <c r="D25" s="191">
        <f>IF(E25=0,0,E25/C25)</f>
        <v>0</v>
      </c>
      <c r="E25" s="182">
        <f>SUM(E15:E17)</f>
        <v>0</v>
      </c>
      <c r="F25" s="192" t="e">
        <f>E25/$E$28</f>
        <v>#DIV/0!</v>
      </c>
      <c r="G25" s="3"/>
      <c r="H25" s="189" t="s">
        <v>48</v>
      </c>
      <c r="I25" s="174" t="e">
        <f>E28/I28</f>
        <v>#DIV/0!</v>
      </c>
    </row>
    <row r="26" spans="2:10" ht="15" customHeight="1" x14ac:dyDescent="0.35">
      <c r="B26" s="189" t="s">
        <v>49</v>
      </c>
      <c r="C26" s="190">
        <f>C18+C19+C20</f>
        <v>0</v>
      </c>
      <c r="D26" s="191">
        <f>IF(E26=0,0,E26/C26)</f>
        <v>0</v>
      </c>
      <c r="E26" s="182">
        <f>E18+E19+E20</f>
        <v>0</v>
      </c>
      <c r="F26" s="192" t="e">
        <f>E26/$E$28</f>
        <v>#DIV/0!</v>
      </c>
      <c r="G26" s="3"/>
      <c r="H26" s="189" t="s">
        <v>50</v>
      </c>
      <c r="I26" s="174" t="e">
        <f>E24/($I$28-I22)</f>
        <v>#DIV/0!</v>
      </c>
      <c r="J26" s="193" t="e">
        <f>IF(I26&lt;1,"Liquidity Problem!","")</f>
        <v>#DIV/0!</v>
      </c>
    </row>
    <row r="27" spans="2:10" ht="15" customHeight="1" x14ac:dyDescent="0.35">
      <c r="B27" s="189" t="s">
        <v>51</v>
      </c>
      <c r="C27" s="102">
        <f>C21+C22</f>
        <v>0</v>
      </c>
      <c r="D27" s="191">
        <f>IF(E27=0,0,E27/C27)</f>
        <v>0</v>
      </c>
      <c r="E27" s="182">
        <f>E21+E22</f>
        <v>0</v>
      </c>
      <c r="F27" s="192" t="e">
        <f>E27/$E$28</f>
        <v>#DIV/0!</v>
      </c>
      <c r="G27" s="3"/>
      <c r="H27" s="189" t="s">
        <v>52</v>
      </c>
      <c r="I27" s="174" t="e">
        <f>(E25+E24)/$I$28</f>
        <v>#DIV/0!</v>
      </c>
      <c r="J27" s="193" t="e">
        <f>IF(OR(I27&lt;0.75,C28&lt;I28),"Liquidity Issue!","")</f>
        <v>#DIV/0!</v>
      </c>
    </row>
    <row r="28" spans="2:10" ht="15" customHeight="1" x14ac:dyDescent="0.35">
      <c r="B28" s="194" t="s">
        <v>14</v>
      </c>
      <c r="C28" s="195">
        <f>SUM(C11:C22)</f>
        <v>0</v>
      </c>
      <c r="D28" s="196" t="e">
        <f>E28/C28</f>
        <v>#DIV/0!</v>
      </c>
      <c r="E28" s="197">
        <f>SUM(E24:E27)</f>
        <v>0</v>
      </c>
      <c r="F28" s="92"/>
      <c r="G28" s="3"/>
      <c r="H28" s="194" t="s">
        <v>15</v>
      </c>
      <c r="I28" s="167">
        <f>Inputs!C77</f>
        <v>0</v>
      </c>
      <c r="J28" s="198" t="e">
        <f>IF(J26="",1,0)+IF(J27="",1,0)+IF(J46="",1,0)+IF(J47="",1,0)</f>
        <v>#DIV/0!</v>
      </c>
    </row>
    <row r="29" spans="2:10" ht="15" customHeight="1" x14ac:dyDescent="0.35">
      <c r="C29" s="3"/>
      <c r="D29" s="3"/>
      <c r="E29" s="3"/>
      <c r="F29" s="92" t="s">
        <v>29</v>
      </c>
      <c r="G29" s="3"/>
      <c r="H29" s="3"/>
      <c r="I29" s="3"/>
      <c r="J29" s="3"/>
    </row>
    <row r="30" spans="2:10" ht="15" customHeight="1" x14ac:dyDescent="0.35">
      <c r="B30" s="9" t="s">
        <v>53</v>
      </c>
      <c r="C30" s="181">
        <f>Inputs!C60</f>
        <v>0</v>
      </c>
      <c r="D30" s="264">
        <f>Inputs!D60</f>
        <v>0.8</v>
      </c>
      <c r="E30" s="182">
        <v>0</v>
      </c>
      <c r="F30" s="266"/>
      <c r="G30" s="3"/>
      <c r="H30" s="9" t="s">
        <v>54</v>
      </c>
      <c r="I30" s="181">
        <f>Inputs!C78</f>
        <v>0</v>
      </c>
      <c r="J30" s="3"/>
    </row>
    <row r="31" spans="2:10" ht="15" customHeight="1" x14ac:dyDescent="0.35">
      <c r="B31" s="9" t="s">
        <v>55</v>
      </c>
      <c r="C31" s="181">
        <f>Inputs!C61</f>
        <v>0</v>
      </c>
      <c r="D31" s="264">
        <f>Inputs!D61</f>
        <v>0.6</v>
      </c>
      <c r="E31" s="182">
        <f t="shared" ref="E31:E42" si="1">C31*D31</f>
        <v>0</v>
      </c>
      <c r="F31" s="266"/>
      <c r="G31" s="3"/>
      <c r="H31" s="9" t="s">
        <v>56</v>
      </c>
      <c r="I31" s="181">
        <f>Inputs!C79</f>
        <v>0</v>
      </c>
      <c r="J31" s="3"/>
    </row>
    <row r="32" spans="2:10" ht="15" customHeight="1" x14ac:dyDescent="0.35">
      <c r="B32" s="9" t="s">
        <v>57</v>
      </c>
      <c r="C32" s="181">
        <f>Inputs!C62</f>
        <v>0</v>
      </c>
      <c r="D32" s="264">
        <f>Inputs!D62</f>
        <v>0.5</v>
      </c>
      <c r="E32" s="182">
        <f t="shared" si="1"/>
        <v>0</v>
      </c>
      <c r="F32" s="266"/>
      <c r="G32" s="3"/>
      <c r="H32" s="9" t="s">
        <v>58</v>
      </c>
      <c r="I32" s="181">
        <f>Inputs!C80</f>
        <v>0</v>
      </c>
      <c r="J32" s="3"/>
    </row>
    <row r="33" spans="2:10" ht="11.65" x14ac:dyDescent="0.35">
      <c r="B33" s="2" t="s">
        <v>144</v>
      </c>
      <c r="C33" s="181">
        <f>Inputs!C63</f>
        <v>0</v>
      </c>
      <c r="D33" s="264">
        <f>Inputs!D63</f>
        <v>0.5</v>
      </c>
      <c r="E33" s="182">
        <f t="shared" si="1"/>
        <v>0</v>
      </c>
      <c r="F33" s="266"/>
      <c r="G33" s="187">
        <f>IF(F33="Y",0,1)</f>
        <v>1</v>
      </c>
      <c r="H33" s="8" t="s">
        <v>59</v>
      </c>
      <c r="I33" s="184">
        <f>Inputs!C81</f>
        <v>0</v>
      </c>
      <c r="J33" s="3"/>
    </row>
    <row r="34" spans="2:10" ht="11.65" x14ac:dyDescent="0.35">
      <c r="B34" s="9" t="s">
        <v>60</v>
      </c>
      <c r="C34" s="181">
        <f>Inputs!C64</f>
        <v>0</v>
      </c>
      <c r="D34" s="264">
        <f>Inputs!D64</f>
        <v>0.4</v>
      </c>
      <c r="E34" s="182">
        <f t="shared" si="1"/>
        <v>0</v>
      </c>
      <c r="F34" s="266"/>
      <c r="G34" s="3"/>
      <c r="H34" s="2" t="s">
        <v>70</v>
      </c>
      <c r="I34" s="186">
        <f>SUM(I30:I33)</f>
        <v>0</v>
      </c>
      <c r="J34" s="3"/>
    </row>
    <row r="35" spans="2:10" ht="11.65" x14ac:dyDescent="0.35">
      <c r="B35" s="9" t="s">
        <v>62</v>
      </c>
      <c r="C35" s="181">
        <f>Inputs!C65</f>
        <v>0</v>
      </c>
      <c r="D35" s="264">
        <f>Inputs!D65</f>
        <v>0.1</v>
      </c>
      <c r="E35" s="182">
        <f t="shared" si="1"/>
        <v>0</v>
      </c>
      <c r="F35" s="266" t="str">
        <f>Inputs!E65</f>
        <v>N</v>
      </c>
      <c r="G35" s="187">
        <f>IF(F35="Y",0,1)</f>
        <v>1</v>
      </c>
      <c r="J35" s="3"/>
    </row>
    <row r="36" spans="2:10" ht="11.65" x14ac:dyDescent="0.35">
      <c r="B36" s="9" t="s">
        <v>64</v>
      </c>
      <c r="C36" s="181">
        <f>Inputs!C66</f>
        <v>0</v>
      </c>
      <c r="D36" s="264">
        <f>Inputs!D66</f>
        <v>0.2</v>
      </c>
      <c r="E36" s="182">
        <f t="shared" si="1"/>
        <v>0</v>
      </c>
      <c r="F36" s="266" t="str">
        <f>Inputs!E66</f>
        <v>N</v>
      </c>
      <c r="G36" s="187">
        <f>IF(F36="Y",0,1)</f>
        <v>1</v>
      </c>
      <c r="H36" s="3"/>
      <c r="I36" s="3"/>
    </row>
    <row r="37" spans="2:10" ht="11.65" x14ac:dyDescent="0.35">
      <c r="B37" s="2" t="s">
        <v>41</v>
      </c>
      <c r="C37" s="181">
        <f>Inputs!C67</f>
        <v>0</v>
      </c>
      <c r="D37" s="264">
        <f>Inputs!D67</f>
        <v>0.1</v>
      </c>
      <c r="E37" s="182">
        <f t="shared" si="1"/>
        <v>0</v>
      </c>
      <c r="F37" s="266" t="str">
        <f>Inputs!E67</f>
        <v>Y</v>
      </c>
      <c r="G37" s="187">
        <f>IF(F37="Y",0,1)</f>
        <v>0</v>
      </c>
      <c r="H37" s="3"/>
      <c r="I37" s="3"/>
    </row>
    <row r="38" spans="2:10" ht="15" customHeight="1" x14ac:dyDescent="0.35">
      <c r="B38" s="9" t="s">
        <v>109</v>
      </c>
      <c r="C38" s="181">
        <f>Inputs!C68</f>
        <v>0</v>
      </c>
      <c r="D38" s="264">
        <f>Inputs!D68</f>
        <v>0.1</v>
      </c>
      <c r="E38" s="182">
        <f t="shared" si="1"/>
        <v>0</v>
      </c>
      <c r="F38" s="266"/>
      <c r="G38" s="3"/>
      <c r="H38" s="3"/>
      <c r="I38" s="3"/>
    </row>
    <row r="39" spans="2:10" ht="11.65" x14ac:dyDescent="0.35">
      <c r="B39" s="9" t="s">
        <v>65</v>
      </c>
      <c r="C39" s="181">
        <f>Inputs!C69</f>
        <v>0</v>
      </c>
      <c r="D39" s="264">
        <f>Inputs!D69</f>
        <v>0.05</v>
      </c>
      <c r="E39" s="182">
        <f t="shared" si="1"/>
        <v>0</v>
      </c>
      <c r="F39" s="266"/>
      <c r="G39" s="3"/>
      <c r="H39" s="3"/>
      <c r="I39" s="3"/>
    </row>
    <row r="40" spans="2:10" ht="15" customHeight="1" x14ac:dyDescent="0.35">
      <c r="B40" s="9" t="s">
        <v>66</v>
      </c>
      <c r="C40" s="181">
        <f>Inputs!C70</f>
        <v>0</v>
      </c>
      <c r="D40" s="264">
        <f>Inputs!D70</f>
        <v>0.05</v>
      </c>
      <c r="E40" s="182">
        <f t="shared" si="1"/>
        <v>0</v>
      </c>
      <c r="F40" s="266"/>
      <c r="G40" s="3"/>
      <c r="H40" s="3"/>
      <c r="I40" s="3"/>
    </row>
    <row r="41" spans="2:10" ht="15" customHeight="1" x14ac:dyDescent="0.35">
      <c r="B41" s="9" t="s">
        <v>67</v>
      </c>
      <c r="C41" s="181">
        <f>Inputs!C71</f>
        <v>0</v>
      </c>
      <c r="D41" s="264">
        <f>Inputs!D71</f>
        <v>0.9</v>
      </c>
      <c r="E41" s="182">
        <f t="shared" si="1"/>
        <v>0</v>
      </c>
      <c r="F41" s="266"/>
      <c r="G41" s="3"/>
      <c r="H41" s="3"/>
      <c r="I41" s="3"/>
    </row>
    <row r="42" spans="2:10" ht="15" customHeight="1" x14ac:dyDescent="0.35">
      <c r="B42" s="9" t="s">
        <v>68</v>
      </c>
      <c r="C42" s="181">
        <f>Inputs!C72</f>
        <v>0</v>
      </c>
      <c r="D42" s="264">
        <f>Inputs!D72</f>
        <v>0</v>
      </c>
      <c r="E42" s="182">
        <f t="shared" si="1"/>
        <v>0</v>
      </c>
      <c r="F42" s="266"/>
      <c r="G42" s="3"/>
      <c r="H42" s="9" t="s">
        <v>61</v>
      </c>
      <c r="I42" s="188">
        <f>I48-SUM(I30:I33)</f>
        <v>6225829</v>
      </c>
    </row>
    <row r="43" spans="2:10" ht="15" customHeight="1" x14ac:dyDescent="0.35">
      <c r="C43" s="3"/>
      <c r="D43" s="3"/>
      <c r="E43" s="3"/>
      <c r="F43" s="3"/>
      <c r="G43" s="3"/>
      <c r="H43" s="3"/>
      <c r="I43" s="3"/>
    </row>
    <row r="44" spans="2:10" ht="15" customHeight="1" x14ac:dyDescent="0.35">
      <c r="B44" s="189" t="s">
        <v>69</v>
      </c>
      <c r="C44" s="190">
        <f>SUM(C30:C31)</f>
        <v>0</v>
      </c>
      <c r="D44" s="191">
        <f>IF(E44=0,0,E44/C44)</f>
        <v>0</v>
      </c>
      <c r="E44" s="182">
        <f>SUM(E30:E31)</f>
        <v>0</v>
      </c>
      <c r="F44" s="199"/>
      <c r="G44" s="3"/>
    </row>
    <row r="45" spans="2:10" ht="15" customHeight="1" x14ac:dyDescent="0.35">
      <c r="B45" s="189" t="s">
        <v>71</v>
      </c>
      <c r="C45" s="190">
        <f>SUM(C32:C35)</f>
        <v>0</v>
      </c>
      <c r="D45" s="191">
        <f>IF(E45=0,0,E45/C45)</f>
        <v>0</v>
      </c>
      <c r="E45" s="182">
        <f>SUM(E32:E35)</f>
        <v>0</v>
      </c>
      <c r="F45" s="199"/>
      <c r="G45" s="3"/>
    </row>
    <row r="46" spans="2:10" ht="15" customHeight="1" x14ac:dyDescent="0.35">
      <c r="B46" s="189" t="s">
        <v>72</v>
      </c>
      <c r="C46" s="190">
        <f>C36+C37+C38+C39</f>
        <v>0</v>
      </c>
      <c r="D46" s="191">
        <f>IF(E46=0,0,E46/C46)</f>
        <v>0</v>
      </c>
      <c r="E46" s="182">
        <f>E36+E37+E38+E39</f>
        <v>0</v>
      </c>
      <c r="F46" s="3"/>
      <c r="G46" s="3"/>
      <c r="H46" s="189" t="s">
        <v>73</v>
      </c>
      <c r="I46" s="174" t="e">
        <f>(E44+E24)/E64</f>
        <v>#DIV/0!</v>
      </c>
      <c r="J46" s="193" t="e">
        <f>IF(I46&lt;1,"Liquidity Problem!","")</f>
        <v>#DIV/0!</v>
      </c>
    </row>
    <row r="47" spans="2:10" ht="15" customHeight="1" x14ac:dyDescent="0.35">
      <c r="B47" s="189" t="s">
        <v>74</v>
      </c>
      <c r="C47" s="190">
        <f>C40+C41+C42</f>
        <v>0</v>
      </c>
      <c r="D47" s="191">
        <f>IF(E47=0,0,E47/C47)</f>
        <v>0</v>
      </c>
      <c r="E47" s="182">
        <f>E40+E41+E42</f>
        <v>0</v>
      </c>
      <c r="F47" s="3"/>
      <c r="G47" s="3"/>
      <c r="H47" s="189" t="s">
        <v>75</v>
      </c>
      <c r="I47" s="174">
        <f>(E44+E45+E24+E25)/$I$49</f>
        <v>0</v>
      </c>
      <c r="J47" s="193" t="str">
        <f>IF(OR(I47&lt;0.5,C49&lt;I49),"Liquidity Issue!","")</f>
        <v>Liquidity Issue!</v>
      </c>
    </row>
    <row r="48" spans="2:10" ht="15" customHeight="1" thickBot="1" x14ac:dyDescent="0.4">
      <c r="B48" s="96" t="s">
        <v>76</v>
      </c>
      <c r="C48" s="200">
        <f>SUM(C30:C42)</f>
        <v>0</v>
      </c>
      <c r="D48" s="201" t="e">
        <f>E48/C48</f>
        <v>#DIV/0!</v>
      </c>
      <c r="E48" s="202">
        <f>SUM(E30:E42)</f>
        <v>0</v>
      </c>
      <c r="F48" s="3"/>
      <c r="G48" s="3"/>
      <c r="H48" s="96" t="s">
        <v>77</v>
      </c>
      <c r="I48" s="203">
        <f>I49-I28</f>
        <v>6225829</v>
      </c>
      <c r="J48" s="193"/>
    </row>
    <row r="49" spans="2:11" ht="15" customHeight="1" thickTop="1" x14ac:dyDescent="0.35">
      <c r="B49" s="9" t="s">
        <v>13</v>
      </c>
      <c r="C49" s="190">
        <f>Inputs!C41+Inputs!C37</f>
        <v>6796694</v>
      </c>
      <c r="D49" s="176">
        <f>E49/C49</f>
        <v>0</v>
      </c>
      <c r="E49" s="182">
        <f>E28+E48</f>
        <v>0</v>
      </c>
      <c r="F49" s="3"/>
      <c r="G49" s="3"/>
      <c r="H49" s="9" t="s">
        <v>78</v>
      </c>
      <c r="I49" s="181">
        <f>Inputs!C37</f>
        <v>6225829</v>
      </c>
      <c r="J49" s="3"/>
    </row>
    <row r="50" spans="2:11" ht="15" customHeight="1" x14ac:dyDescent="0.35">
      <c r="C50" s="3"/>
      <c r="D50" s="3"/>
      <c r="E50" s="3"/>
      <c r="I50" s="3"/>
    </row>
    <row r="51" spans="2:11" ht="11.65" x14ac:dyDescent="0.35">
      <c r="B51" s="88" t="s">
        <v>261</v>
      </c>
      <c r="C51" s="293"/>
      <c r="D51" s="293"/>
    </row>
    <row r="52" spans="2:11" ht="11.65" x14ac:dyDescent="0.35">
      <c r="B52" s="204" t="s">
        <v>79</v>
      </c>
      <c r="C52" s="3"/>
      <c r="D52" s="85" t="str">
        <f>IF(E53=D4,"BV of the MI","P/B Approach")</f>
        <v>BV of the MI</v>
      </c>
      <c r="E52" s="3"/>
      <c r="F52" s="3"/>
      <c r="G52" s="3"/>
      <c r="I52" s="3"/>
      <c r="K52" s="166" t="s">
        <v>7</v>
      </c>
    </row>
    <row r="53" spans="2:11" ht="11.65" x14ac:dyDescent="0.35">
      <c r="B53" s="9" t="s">
        <v>80</v>
      </c>
      <c r="C53" s="182">
        <f>MAX(D4,0)</f>
        <v>2474</v>
      </c>
      <c r="D53" s="34">
        <f>IF(E53=0, 0,E53/C53)</f>
        <v>1</v>
      </c>
      <c r="E53" s="182">
        <f>IF(C53=0,0,MAX(C53,C53*Dashboard!G23))</f>
        <v>2474</v>
      </c>
      <c r="F53" s="3"/>
      <c r="G53" s="3"/>
      <c r="I53" s="205"/>
      <c r="K53" s="178"/>
    </row>
    <row r="54" spans="2:11" ht="15" customHeight="1" x14ac:dyDescent="0.35">
      <c r="C54" s="3"/>
      <c r="D54" s="3"/>
      <c r="E54" s="3"/>
      <c r="F54" s="3"/>
      <c r="G54" s="3"/>
      <c r="I54" s="3"/>
      <c r="K54" s="178"/>
    </row>
    <row r="55" spans="2:11" ht="11.65" x14ac:dyDescent="0.35">
      <c r="B55" s="6" t="s">
        <v>137</v>
      </c>
      <c r="C55" s="9"/>
      <c r="E55" s="15"/>
      <c r="F55" s="9"/>
      <c r="G55" s="9"/>
      <c r="I55" s="3"/>
      <c r="K55" s="178"/>
    </row>
    <row r="56" spans="2:11" ht="11.65" x14ac:dyDescent="0.35">
      <c r="B56" s="56" t="s">
        <v>81</v>
      </c>
      <c r="C56" s="3"/>
      <c r="D56" s="322">
        <f>I15+I34</f>
        <v>0</v>
      </c>
      <c r="E56" s="320"/>
      <c r="F56" s="9"/>
      <c r="G56" s="9"/>
      <c r="I56" s="176"/>
      <c r="K56" s="178"/>
    </row>
    <row r="57" spans="2:11" ht="11.65" x14ac:dyDescent="0.35">
      <c r="B57" s="56" t="s">
        <v>82</v>
      </c>
      <c r="C57" s="3"/>
      <c r="D57" s="321">
        <f>Inputs!C84</f>
        <v>0</v>
      </c>
      <c r="E57" s="320"/>
      <c r="G57" s="3"/>
      <c r="I57" s="3"/>
      <c r="K57" s="178" t="s">
        <v>83</v>
      </c>
    </row>
    <row r="58" spans="2:11" ht="12.75" customHeight="1" x14ac:dyDescent="0.35">
      <c r="B58" s="56" t="s">
        <v>84</v>
      </c>
      <c r="C58" s="3"/>
      <c r="D58" s="321">
        <f>Inputs!C85</f>
        <v>0</v>
      </c>
      <c r="E58" s="320"/>
      <c r="F58" s="9"/>
      <c r="G58" s="9"/>
      <c r="I58" s="3"/>
      <c r="K58" s="178"/>
    </row>
    <row r="59" spans="2:11" ht="15" customHeight="1" x14ac:dyDescent="0.35">
      <c r="C59" s="3"/>
      <c r="D59" s="3"/>
      <c r="E59" s="3"/>
      <c r="F59" s="3"/>
      <c r="G59" s="3"/>
      <c r="I59" s="3"/>
      <c r="K59" s="178"/>
    </row>
    <row r="60" spans="2:11" ht="11.65" x14ac:dyDescent="0.35">
      <c r="B60" s="6" t="s">
        <v>140</v>
      </c>
      <c r="C60" s="9"/>
      <c r="D60" s="206" t="s">
        <v>85</v>
      </c>
      <c r="E60" s="3"/>
      <c r="F60" s="207"/>
      <c r="G60" s="207"/>
      <c r="H60" s="88" t="s">
        <v>254</v>
      </c>
      <c r="I60" s="88"/>
      <c r="K60" s="178"/>
    </row>
    <row r="61" spans="2:11" ht="15" customHeight="1" x14ac:dyDescent="0.35">
      <c r="B61" s="57" t="s">
        <v>86</v>
      </c>
      <c r="C61" s="208">
        <f>C14+C15+(C19*G19)+(C20*G20)+C31+C32+(C35*G35)+(C36*G36)+(C37*G37)</f>
        <v>0</v>
      </c>
      <c r="D61" s="176">
        <f t="shared" ref="D61:D70" si="2">IF(E61=0,0,E61/C61)</f>
        <v>0</v>
      </c>
      <c r="E61" s="188">
        <f>E14+E15+(E19*G19)+(E20*G20)+E31+E32+(E35*G35)+(E36*G36)+(E37*G37)</f>
        <v>0</v>
      </c>
      <c r="F61" s="3"/>
      <c r="G61" s="3"/>
      <c r="H61" s="2" t="s">
        <v>255</v>
      </c>
      <c r="I61" s="209">
        <f>C99*Data!$C$4/Common_Shares</f>
        <v>-112.10318120026973</v>
      </c>
      <c r="K61" s="178"/>
    </row>
    <row r="62" spans="2:11" ht="11.65" x14ac:dyDescent="0.35">
      <c r="B62" s="12" t="s">
        <v>129</v>
      </c>
      <c r="C62" s="210">
        <f>C11+C30</f>
        <v>0</v>
      </c>
      <c r="D62" s="211">
        <f t="shared" si="2"/>
        <v>0</v>
      </c>
      <c r="E62" s="212">
        <f>E11+E30</f>
        <v>0</v>
      </c>
      <c r="F62" s="3"/>
      <c r="G62" s="3"/>
      <c r="H62" s="2" t="s">
        <v>277</v>
      </c>
      <c r="I62" s="306">
        <f>IF(OR(C92="CN",C92="HK"),Dashboard!C14,Dashboard!C10)</f>
        <v>1.8100000000000002E-2</v>
      </c>
      <c r="K62" s="178"/>
    </row>
    <row r="63" spans="2:11" ht="11.65" x14ac:dyDescent="0.35">
      <c r="B63" s="57" t="s">
        <v>131</v>
      </c>
      <c r="C63" s="208">
        <f>C61+C62</f>
        <v>0</v>
      </c>
      <c r="D63" s="34">
        <f t="shared" si="2"/>
        <v>0</v>
      </c>
      <c r="E63" s="190">
        <f>E61+E62</f>
        <v>0</v>
      </c>
      <c r="F63" s="3"/>
      <c r="G63" s="3"/>
      <c r="H63" s="2" t="s">
        <v>256</v>
      </c>
      <c r="I63" s="213">
        <f>IF(I61&gt;0,FV(I62,D93,0,-I61),I61)</f>
        <v>-112.10318120026973</v>
      </c>
      <c r="K63" s="178"/>
    </row>
    <row r="64" spans="2:11" ht="12" thickBot="1" x14ac:dyDescent="0.4">
      <c r="B64" s="214" t="s">
        <v>138</v>
      </c>
      <c r="C64" s="215"/>
      <c r="D64" s="215"/>
      <c r="E64" s="175">
        <f>D56+D57+D58</f>
        <v>0</v>
      </c>
      <c r="F64" s="3"/>
      <c r="G64" s="3"/>
      <c r="H64" s="2" t="s">
        <v>257</v>
      </c>
      <c r="I64" s="213">
        <f>IF(I61&gt;0,PV(C94,D93,0,-I63),I61)</f>
        <v>-112.10318120026973</v>
      </c>
      <c r="K64" s="178"/>
    </row>
    <row r="65" spans="1:11" ht="12" thickTop="1" x14ac:dyDescent="0.35">
      <c r="B65" s="9" t="s">
        <v>132</v>
      </c>
      <c r="C65" s="208">
        <f>C63-E64</f>
        <v>0</v>
      </c>
      <c r="D65" s="34">
        <f t="shared" si="2"/>
        <v>0</v>
      </c>
      <c r="E65" s="190">
        <f>E63-E64</f>
        <v>0</v>
      </c>
      <c r="F65" s="3"/>
      <c r="G65" s="3"/>
      <c r="I65" s="3"/>
      <c r="K65" s="178"/>
    </row>
    <row r="66" spans="1:11" ht="11.65" x14ac:dyDescent="0.35">
      <c r="B66" s="9"/>
      <c r="C66" s="208"/>
      <c r="D66" s="34"/>
      <c r="E66" s="190"/>
      <c r="F66" s="3"/>
      <c r="G66" s="3"/>
      <c r="I66" s="3"/>
      <c r="K66" s="178"/>
    </row>
    <row r="67" spans="1:11" ht="11.65" x14ac:dyDescent="0.35">
      <c r="B67" s="6" t="s">
        <v>141</v>
      </c>
      <c r="C67" s="9"/>
      <c r="D67" s="206" t="s">
        <v>85</v>
      </c>
      <c r="E67" s="190"/>
      <c r="F67" s="3"/>
      <c r="G67" s="3"/>
      <c r="I67" s="3"/>
      <c r="K67" s="178"/>
    </row>
    <row r="68" spans="1:11" ht="11.65" x14ac:dyDescent="0.35">
      <c r="B68" s="57" t="s">
        <v>130</v>
      </c>
      <c r="C68" s="208">
        <f>C49-C63</f>
        <v>6796694</v>
      </c>
      <c r="D68" s="34">
        <f t="shared" si="2"/>
        <v>0</v>
      </c>
      <c r="E68" s="208">
        <f>E49-E63</f>
        <v>0</v>
      </c>
      <c r="F68" s="3"/>
      <c r="G68" s="3"/>
      <c r="I68" s="3"/>
      <c r="K68" s="178"/>
    </row>
    <row r="69" spans="1:11" ht="12" thickBot="1" x14ac:dyDescent="0.4">
      <c r="B69" s="214" t="s">
        <v>139</v>
      </c>
      <c r="C69" s="215"/>
      <c r="D69" s="215"/>
      <c r="E69" s="216">
        <f>I49-E64</f>
        <v>6225829</v>
      </c>
      <c r="F69" s="3"/>
      <c r="G69" s="3"/>
      <c r="I69" s="3"/>
      <c r="K69" s="178"/>
    </row>
    <row r="70" spans="1:11" ht="12" thickTop="1" x14ac:dyDescent="0.35">
      <c r="B70" s="57" t="s">
        <v>133</v>
      </c>
      <c r="C70" s="208">
        <f>C68-E69</f>
        <v>570865</v>
      </c>
      <c r="D70" s="34">
        <f t="shared" si="2"/>
        <v>-10.905956749844535</v>
      </c>
      <c r="E70" s="208">
        <f>E68-E69</f>
        <v>-6225829</v>
      </c>
      <c r="F70" s="3"/>
      <c r="G70" s="3"/>
      <c r="I70" s="3"/>
      <c r="K70" s="178"/>
    </row>
    <row r="72" spans="1:11" ht="15" customHeight="1" x14ac:dyDescent="0.35">
      <c r="A72" s="4"/>
      <c r="B72" s="99" t="s">
        <v>117</v>
      </c>
      <c r="C72" s="309">
        <f>Data!C5</f>
        <v>45291</v>
      </c>
      <c r="D72" s="309"/>
      <c r="E72" s="323" t="s">
        <v>181</v>
      </c>
      <c r="F72" s="323"/>
      <c r="H72" s="323" t="s">
        <v>180</v>
      </c>
      <c r="I72" s="323"/>
      <c r="K72" s="166" t="s">
        <v>7</v>
      </c>
    </row>
    <row r="73" spans="1:11" ht="15" customHeight="1" x14ac:dyDescent="0.35">
      <c r="B73" s="101" t="str">
        <f>"(Numbers in "&amp;Data!C4&amp;Dashboard!G6&amp;")"</f>
        <v>(Numbers in 1000000CNY)</v>
      </c>
      <c r="C73" s="310" t="s">
        <v>92</v>
      </c>
      <c r="D73" s="310"/>
      <c r="E73" s="324" t="s">
        <v>93</v>
      </c>
      <c r="F73" s="310"/>
      <c r="H73" s="324" t="s">
        <v>93</v>
      </c>
      <c r="I73" s="310"/>
      <c r="K73" s="75"/>
    </row>
    <row r="74" spans="1:11" ht="15" customHeight="1" x14ac:dyDescent="0.35">
      <c r="B74" s="9" t="s">
        <v>116</v>
      </c>
      <c r="C74" s="102">
        <f>Data!C6</f>
        <v>277533</v>
      </c>
      <c r="D74" s="103"/>
      <c r="E74" s="262">
        <f>Inputs!E91</f>
        <v>277533</v>
      </c>
      <c r="F74" s="103"/>
      <c r="H74" s="262">
        <f>Inputs!F91</f>
        <v>277533</v>
      </c>
      <c r="I74" s="103"/>
      <c r="K74" s="75"/>
    </row>
    <row r="75" spans="1:11" ht="15" customHeight="1" x14ac:dyDescent="0.35">
      <c r="B75" s="105" t="s">
        <v>97</v>
      </c>
      <c r="C75" s="102">
        <f>Data!C8</f>
        <v>55101</v>
      </c>
      <c r="D75" s="106">
        <f>C75/$C$74</f>
        <v>0.19853855217217412</v>
      </c>
      <c r="E75" s="262">
        <f>Inputs!E92</f>
        <v>55101</v>
      </c>
      <c r="F75" s="217">
        <f>E75/E74</f>
        <v>0.19853855217217412</v>
      </c>
      <c r="H75" s="262">
        <f>Inputs!F92</f>
        <v>55101</v>
      </c>
      <c r="I75" s="217">
        <f>H75/$H$74</f>
        <v>0.19853855217217412</v>
      </c>
      <c r="K75" s="75"/>
    </row>
    <row r="76" spans="1:11" ht="15" customHeight="1" x14ac:dyDescent="0.35">
      <c r="B76" s="12" t="s">
        <v>87</v>
      </c>
      <c r="C76" s="150">
        <f>C74-C75</f>
        <v>222432</v>
      </c>
      <c r="D76" s="218"/>
      <c r="E76" s="219">
        <f>E74-E75</f>
        <v>222432</v>
      </c>
      <c r="F76" s="218"/>
      <c r="H76" s="219">
        <f>H74-H75</f>
        <v>222432</v>
      </c>
      <c r="I76" s="218"/>
      <c r="K76" s="75"/>
    </row>
    <row r="77" spans="1:11" ht="15" customHeight="1" x14ac:dyDescent="0.35">
      <c r="B77" s="105" t="s">
        <v>217</v>
      </c>
      <c r="C77" s="102">
        <f>Data!C10+MAX(Data!C11,0)</f>
        <v>43909</v>
      </c>
      <c r="D77" s="106">
        <f>C77/$C$74</f>
        <v>0.15821181625248168</v>
      </c>
      <c r="E77" s="262">
        <f>Inputs!E93</f>
        <v>43909</v>
      </c>
      <c r="F77" s="217">
        <f>E77/E74</f>
        <v>0.15821181625248168</v>
      </c>
      <c r="H77" s="262">
        <f>Inputs!F93</f>
        <v>43909</v>
      </c>
      <c r="I77" s="217">
        <f>H77/$H$74</f>
        <v>0.15821181625248168</v>
      </c>
      <c r="K77" s="75"/>
    </row>
    <row r="78" spans="1:11" ht="15" customHeight="1" x14ac:dyDescent="0.35">
      <c r="B78" s="98" t="s">
        <v>152</v>
      </c>
      <c r="C78" s="102">
        <f>MAX(Data!C12,0)</f>
        <v>378.66666666666669</v>
      </c>
      <c r="D78" s="106">
        <f>C78/$C$74</f>
        <v>1.3644023113167324E-3</v>
      </c>
      <c r="E78" s="220">
        <f>E74*F78</f>
        <v>378.66666666666669</v>
      </c>
      <c r="F78" s="217">
        <f>I78</f>
        <v>1.3644023113167324E-3</v>
      </c>
      <c r="H78" s="262">
        <f>Inputs!F97</f>
        <v>378.66666666666669</v>
      </c>
      <c r="I78" s="217">
        <f>H78/$H$74</f>
        <v>1.3644023113167324E-3</v>
      </c>
      <c r="K78" s="75"/>
    </row>
    <row r="79" spans="1:11" ht="15" customHeight="1" x14ac:dyDescent="0.35">
      <c r="B79" s="221" t="s">
        <v>205</v>
      </c>
      <c r="C79" s="222">
        <f>C76-C77-C78</f>
        <v>178144.33333333334</v>
      </c>
      <c r="D79" s="223">
        <f>C79/C74</f>
        <v>0.64188522926402747</v>
      </c>
      <c r="E79" s="224">
        <f>E76-E77-E78</f>
        <v>178144.33333333334</v>
      </c>
      <c r="F79" s="223">
        <f>E79/E74</f>
        <v>0.64188522926402747</v>
      </c>
      <c r="G79" s="225"/>
      <c r="H79" s="224">
        <f>H76-H77-H78</f>
        <v>178144.33333333334</v>
      </c>
      <c r="I79" s="223">
        <f>H79/H74</f>
        <v>0.64188522926402747</v>
      </c>
      <c r="K79" s="75"/>
    </row>
    <row r="80" spans="1:11" ht="15" customHeight="1" x14ac:dyDescent="0.35">
      <c r="B80" s="18" t="s">
        <v>101</v>
      </c>
      <c r="C80" s="102">
        <f>MAX(Data!C16,0)</f>
        <v>0</v>
      </c>
      <c r="D80" s="106">
        <f>C80/$C$74</f>
        <v>0</v>
      </c>
      <c r="E80" s="220">
        <f>E74*F80</f>
        <v>0</v>
      </c>
      <c r="F80" s="217">
        <f>I80</f>
        <v>0</v>
      </c>
      <c r="H80" s="262">
        <f>Inputs!F96</f>
        <v>0</v>
      </c>
      <c r="I80" s="217">
        <f>H80/$H$74</f>
        <v>0</v>
      </c>
      <c r="K80" s="226" t="s">
        <v>121</v>
      </c>
    </row>
    <row r="81" spans="1:11" ht="15" customHeight="1" x14ac:dyDescent="0.35">
      <c r="B81" s="105" t="s">
        <v>223</v>
      </c>
      <c r="C81" s="102">
        <f>MAX(Data!C17,0)</f>
        <v>143329</v>
      </c>
      <c r="D81" s="106">
        <f>C81/$C$74</f>
        <v>0.51643948647548221</v>
      </c>
      <c r="E81" s="220">
        <f>E74*F81</f>
        <v>143329</v>
      </c>
      <c r="F81" s="217">
        <f>I81</f>
        <v>0.51643948647548221</v>
      </c>
      <c r="H81" s="262">
        <f>Inputs!F94</f>
        <v>143329</v>
      </c>
      <c r="I81" s="217">
        <f>H81/$H$74</f>
        <v>0.51643948647548221</v>
      </c>
      <c r="K81" s="75"/>
    </row>
    <row r="82" spans="1:11" ht="15" customHeight="1" x14ac:dyDescent="0.35">
      <c r="B82" s="18" t="s">
        <v>216</v>
      </c>
      <c r="C82" s="102">
        <f>ABS(MAX(Data!C21,0)-MAX(Data!C19,0))</f>
        <v>0</v>
      </c>
      <c r="D82" s="106">
        <f>C82/$C$74</f>
        <v>0</v>
      </c>
      <c r="E82" s="262">
        <f>Inputs!E95</f>
        <v>0</v>
      </c>
      <c r="F82" s="217">
        <f>E82/E74</f>
        <v>0</v>
      </c>
      <c r="H82" s="262">
        <f>Inputs!F95</f>
        <v>0</v>
      </c>
      <c r="I82" s="217">
        <f>H82/$H$74</f>
        <v>0</v>
      </c>
      <c r="K82" s="75"/>
    </row>
    <row r="83" spans="1:11" ht="15" customHeight="1" thickBot="1" x14ac:dyDescent="0.4">
      <c r="B83" s="227" t="s">
        <v>115</v>
      </c>
      <c r="C83" s="228">
        <f>C79-C81-C82-C80</f>
        <v>34815.333333333343</v>
      </c>
      <c r="D83" s="229">
        <f>C83/$C$74</f>
        <v>0.12544574278854531</v>
      </c>
      <c r="E83" s="230">
        <f>E79-E81-E82-E80</f>
        <v>34815.333333333343</v>
      </c>
      <c r="F83" s="229">
        <f>E83/E74</f>
        <v>0.12544574278854531</v>
      </c>
      <c r="H83" s="230">
        <f>H79-H81-H82-H80</f>
        <v>34815.333333333343</v>
      </c>
      <c r="I83" s="229">
        <f>H83/$H$74</f>
        <v>0.12544574278854531</v>
      </c>
      <c r="K83" s="75"/>
    </row>
    <row r="84" spans="1:11" ht="15" customHeight="1" thickTop="1" x14ac:dyDescent="0.35">
      <c r="B84" s="18" t="s">
        <v>88</v>
      </c>
      <c r="C84" s="231"/>
      <c r="D84" s="106">
        <f>I84</f>
        <v>0.25</v>
      </c>
      <c r="E84" s="232"/>
      <c r="F84" s="233">
        <f t="shared" ref="F84" si="3">I84</f>
        <v>0.25</v>
      </c>
      <c r="H84" s="232"/>
      <c r="I84" s="263">
        <f>Inputs!C16</f>
        <v>0.25</v>
      </c>
      <c r="K84" s="75"/>
    </row>
    <row r="85" spans="1:11" ht="15" customHeight="1" x14ac:dyDescent="0.35">
      <c r="B85" s="234" t="s">
        <v>148</v>
      </c>
      <c r="C85" s="222">
        <f>C83*(1-I84)</f>
        <v>26111.500000000007</v>
      </c>
      <c r="D85" s="223">
        <f>C85/$C$74</f>
        <v>9.408430709140897E-2</v>
      </c>
      <c r="E85" s="235">
        <f>E83*(1-F84)</f>
        <v>26111.500000000007</v>
      </c>
      <c r="F85" s="223">
        <f>E85/E74</f>
        <v>9.408430709140897E-2</v>
      </c>
      <c r="G85" s="225"/>
      <c r="H85" s="235">
        <f>H83*(1-I84)</f>
        <v>26111.500000000007</v>
      </c>
      <c r="I85" s="223">
        <f>H85/$H$74</f>
        <v>9.408430709140897E-2</v>
      </c>
      <c r="K85" s="75"/>
    </row>
    <row r="86" spans="1:11" ht="15" customHeight="1" x14ac:dyDescent="0.35">
      <c r="B86" s="3" t="s">
        <v>145</v>
      </c>
      <c r="C86" s="236">
        <f>C85*Data!C4/Common_Shares</f>
        <v>0.44192699452091866</v>
      </c>
      <c r="D86" s="103"/>
      <c r="E86" s="237">
        <f>E85*Data!C4/Common_Shares</f>
        <v>0.44192699452091866</v>
      </c>
      <c r="F86" s="103"/>
      <c r="H86" s="237">
        <f>H85*Data!C4/Common_Shares</f>
        <v>0.44192699452091866</v>
      </c>
      <c r="I86" s="103"/>
      <c r="K86" s="75"/>
    </row>
    <row r="87" spans="1:11" ht="15" customHeight="1" x14ac:dyDescent="0.35">
      <c r="B87" s="3" t="s">
        <v>183</v>
      </c>
      <c r="C87" s="238">
        <f>C86*Exchange_Rate/Dashboard!G3</f>
        <v>0.15937880046751673</v>
      </c>
      <c r="D87" s="103"/>
      <c r="E87" s="239">
        <f>E86*Exchange_Rate/Dashboard!G3</f>
        <v>0.15937880046751673</v>
      </c>
      <c r="F87" s="103"/>
      <c r="H87" s="239">
        <f>H86*Exchange_Rate/Dashboard!G3</f>
        <v>0.15937880046751673</v>
      </c>
      <c r="I87" s="103"/>
      <c r="K87" s="75"/>
    </row>
    <row r="88" spans="1:11" ht="15" customHeight="1" x14ac:dyDescent="0.35">
      <c r="B88" s="8" t="s">
        <v>182</v>
      </c>
      <c r="C88" s="240">
        <f>Inputs!C44</f>
        <v>0.27699999999999997</v>
      </c>
      <c r="D88" s="241">
        <f>C88/C86</f>
        <v>0.6268003616757748</v>
      </c>
      <c r="E88" s="261">
        <f>Inputs!E98</f>
        <v>0.21</v>
      </c>
      <c r="F88" s="241">
        <f>E88/E86</f>
        <v>0.47519160993470294</v>
      </c>
      <c r="H88" s="261">
        <f>Inputs!F98</f>
        <v>0.21</v>
      </c>
      <c r="I88" s="241">
        <f>H88/H86</f>
        <v>0.47519160993470294</v>
      </c>
      <c r="K88" s="75"/>
    </row>
    <row r="89" spans="1:11" ht="15" customHeight="1" x14ac:dyDescent="0.35">
      <c r="B89" s="3" t="s">
        <v>195</v>
      </c>
      <c r="C89" s="238">
        <f>C88*Exchange_Rate/Dashboard!G3</f>
        <v>9.9898689776490621E-2</v>
      </c>
      <c r="D89" s="103"/>
      <c r="E89" s="238">
        <f>E88*Exchange_Rate/Dashboard!G3</f>
        <v>7.5735468783621057E-2</v>
      </c>
      <c r="F89" s="103"/>
      <c r="H89" s="238">
        <f>H88*Exchange_Rate/Dashboard!G3</f>
        <v>7.5735468783621057E-2</v>
      </c>
      <c r="I89" s="103"/>
      <c r="K89" s="75"/>
    </row>
    <row r="90" spans="1:11" ht="15" customHeight="1" x14ac:dyDescent="0.35">
      <c r="B90" s="18"/>
      <c r="C90" s="182"/>
    </row>
    <row r="91" spans="1:11" ht="15" customHeight="1" x14ac:dyDescent="0.35">
      <c r="A91" s="4"/>
      <c r="B91" s="99" t="str">
        <f xml:space="preserve"> "Valuation Drivers in "&amp;Dashboard!H3</f>
        <v>Valuation Drivers in HKD</v>
      </c>
      <c r="C91" s="172"/>
      <c r="K91" s="166" t="s">
        <v>122</v>
      </c>
    </row>
    <row r="92" spans="1:11" ht="15" customHeight="1" x14ac:dyDescent="0.35">
      <c r="B92" s="88" t="s">
        <v>271</v>
      </c>
      <c r="C92" s="264" t="str">
        <f>Inputs!C15</f>
        <v>CN</v>
      </c>
      <c r="D92" s="88" t="s">
        <v>272</v>
      </c>
      <c r="E92" s="323" t="s">
        <v>181</v>
      </c>
      <c r="F92" s="323"/>
      <c r="G92" s="3"/>
      <c r="H92" s="323" t="s">
        <v>180</v>
      </c>
      <c r="I92" s="323"/>
      <c r="K92" s="75"/>
    </row>
    <row r="93" spans="1:11" ht="15" customHeight="1" x14ac:dyDescent="0.35">
      <c r="B93" s="2" t="str">
        <f>C92&amp;" Discount Rate"</f>
        <v>CN Discount Rate</v>
      </c>
      <c r="C93" s="242">
        <f>IF(C92="CN",Dashboard!C17,IF(C92="US",Dashboard!C12,IF(C92="HK",Dashboard!D12,Dashboard!D17)))</f>
        <v>8.6249999999999993E-2</v>
      </c>
      <c r="D93" s="259">
        <f>Dashboard!H20</f>
        <v>3</v>
      </c>
      <c r="E93" s="3" t="s">
        <v>184</v>
      </c>
      <c r="F93" s="243">
        <f>FV(E87,D93,0,-(E86/(C93-D94)))*Exchange_Rate</f>
        <v>11.059684856525399</v>
      </c>
      <c r="H93" s="3" t="s">
        <v>184</v>
      </c>
      <c r="I93" s="243">
        <f>FV(H87,D93,0,-(H86/(C93-D94)))*Exchange_Rate</f>
        <v>11.059684856525399</v>
      </c>
      <c r="K93" s="75"/>
    </row>
    <row r="94" spans="1:11" ht="15" customHeight="1" x14ac:dyDescent="0.35">
      <c r="B94" s="2" t="s">
        <v>186</v>
      </c>
      <c r="C94" s="244">
        <f>Dashboard!G20</f>
        <v>0.15</v>
      </c>
      <c r="D94" s="260">
        <f>Inputs!D87</f>
        <v>0.02</v>
      </c>
      <c r="E94" s="3" t="s">
        <v>185</v>
      </c>
      <c r="F94" s="243">
        <f>FV(E89,D93,0,-(E88/(C93-D94)))*Exchange_Rate</f>
        <v>4.1980916551450331</v>
      </c>
      <c r="H94" s="3" t="s">
        <v>185</v>
      </c>
      <c r="I94" s="243">
        <f>FV(H89,D93,0,-(H88/(C93-D94)))*Exchange_Rate</f>
        <v>4.1980916551450331</v>
      </c>
      <c r="K94" s="75"/>
    </row>
    <row r="95" spans="1:11" ht="15" customHeight="1" x14ac:dyDescent="0.35">
      <c r="E95" s="75"/>
      <c r="K95" s="75"/>
    </row>
    <row r="96" spans="1:11" ht="15" customHeight="1" x14ac:dyDescent="0.35">
      <c r="A96" s="4"/>
      <c r="B96" s="99" t="str">
        <f xml:space="preserve"> "Valuation in "&amp;Dashboard!H3</f>
        <v>Valuation in HKD</v>
      </c>
      <c r="C96" s="245" t="str">
        <f>Dashboard!H3</f>
        <v>HKD</v>
      </c>
      <c r="D96" s="246" t="s">
        <v>188</v>
      </c>
      <c r="E96" s="247" t="str">
        <f>E72</f>
        <v>Pessimistic Case</v>
      </c>
      <c r="F96" s="248" t="s">
        <v>210</v>
      </c>
      <c r="H96" s="247" t="str">
        <f>H72</f>
        <v>Base Case</v>
      </c>
      <c r="I96" s="246" t="s">
        <v>106</v>
      </c>
      <c r="K96" s="75"/>
    </row>
    <row r="97" spans="2:11" ht="15" customHeight="1" x14ac:dyDescent="0.35">
      <c r="B97" s="2" t="s">
        <v>120</v>
      </c>
      <c r="C97" s="249">
        <f>H97*Common_Shares/Data!C4</f>
        <v>429665.53747599252</v>
      </c>
      <c r="D97" s="250"/>
      <c r="E97" s="251">
        <f>PV(C94,D93,0,-F93)</f>
        <v>7.2719223187476958</v>
      </c>
      <c r="F97" s="250"/>
      <c r="H97" s="251">
        <f>PV(C94,D93,0,-I93)</f>
        <v>7.2719223187476958</v>
      </c>
      <c r="I97" s="251">
        <f>PV(C93,D93,0,-I93)</f>
        <v>8.6288592223322347</v>
      </c>
      <c r="K97" s="75"/>
    </row>
    <row r="98" spans="2:11" ht="15" customHeight="1" x14ac:dyDescent="0.35">
      <c r="B98" s="18" t="s">
        <v>134</v>
      </c>
      <c r="C98" s="249">
        <f>-E53*Exchange_Rate</f>
        <v>-2632.0960563023887</v>
      </c>
      <c r="D98" s="250"/>
      <c r="E98" s="250"/>
      <c r="F98" s="250"/>
      <c r="H98" s="251">
        <f>C98*Data!$C$4/Common_Shares</f>
        <v>-4.4547203318540757E-2</v>
      </c>
      <c r="I98" s="252"/>
      <c r="K98" s="75"/>
    </row>
    <row r="99" spans="2:11" ht="15" customHeight="1" thickBot="1" x14ac:dyDescent="0.4">
      <c r="B99" s="227" t="s">
        <v>135</v>
      </c>
      <c r="C99" s="253">
        <f>(E65+IF(E70&lt;0,E70,0))*Exchange_Rate</f>
        <v>-6623678.2369090719</v>
      </c>
      <c r="D99" s="254"/>
      <c r="E99" s="255">
        <f>IF(H99&gt;0,I64,H99)</f>
        <v>-112.10318120026973</v>
      </c>
      <c r="F99" s="254"/>
      <c r="H99" s="255">
        <f>I64</f>
        <v>-112.10318120026973</v>
      </c>
      <c r="I99" s="256"/>
      <c r="K99" s="75"/>
    </row>
    <row r="100" spans="2:11" ht="15" customHeight="1" thickTop="1" x14ac:dyDescent="0.35">
      <c r="B100" s="2" t="s">
        <v>106</v>
      </c>
      <c r="C100" s="249"/>
      <c r="D100" s="257">
        <f>MIN(F100*(1-C94),E100)</f>
        <v>0</v>
      </c>
      <c r="E100" s="257">
        <f>MAX(E97+H98+E99,0)</f>
        <v>0</v>
      </c>
      <c r="F100" s="257">
        <f>(E100+H100)/2</f>
        <v>0</v>
      </c>
      <c r="H100" s="257">
        <f>MAX(H97+H98+H99,0)</f>
        <v>0</v>
      </c>
      <c r="I100" s="257">
        <f>MAX(I97+H98+H99,0)</f>
        <v>0</v>
      </c>
      <c r="K100" s="75"/>
    </row>
    <row r="101" spans="2:11" ht="15" customHeight="1" x14ac:dyDescent="0.35">
      <c r="E101" s="75"/>
      <c r="K101" s="75"/>
    </row>
    <row r="102" spans="2:11" ht="15" customHeight="1" x14ac:dyDescent="0.35">
      <c r="B102" s="88" t="s">
        <v>273</v>
      </c>
      <c r="C102" s="245"/>
      <c r="D102" s="246" t="s">
        <v>188</v>
      </c>
      <c r="E102" s="247" t="str">
        <f>E96</f>
        <v>Pessimistic Case</v>
      </c>
      <c r="F102" s="248" t="s">
        <v>210</v>
      </c>
      <c r="H102" s="247" t="str">
        <f>H96</f>
        <v>Base Case</v>
      </c>
      <c r="I102" s="246" t="s">
        <v>106</v>
      </c>
      <c r="K102" s="75"/>
    </row>
    <row r="103" spans="2:11" ht="15" customHeight="1" x14ac:dyDescent="0.35">
      <c r="B103" s="2" t="s">
        <v>146</v>
      </c>
      <c r="C103" s="249"/>
      <c r="D103" s="257">
        <f>MIN(F103*(1-C94),E103)</f>
        <v>2.3462663972208624</v>
      </c>
      <c r="E103" s="251">
        <f>PV(C94,D93,0,-F94)</f>
        <v>2.7603134084951324</v>
      </c>
      <c r="F103" s="257">
        <f>(E103+H103)/2</f>
        <v>2.7603134084951324</v>
      </c>
      <c r="H103" s="251">
        <f>PV(C94,D93,0,-I94)</f>
        <v>2.7603134084951324</v>
      </c>
      <c r="I103" s="257">
        <f>PV(C93,D93,0,-I94)</f>
        <v>3.2753864476817358</v>
      </c>
      <c r="K103" s="75"/>
    </row>
    <row r="104" spans="2:11" ht="15" customHeight="1" x14ac:dyDescent="0.35">
      <c r="E104" s="75"/>
      <c r="K104" s="75"/>
    </row>
    <row r="105" spans="2:11" ht="15" customHeight="1" x14ac:dyDescent="0.35">
      <c r="B105" s="88" t="s">
        <v>172</v>
      </c>
      <c r="C105" s="245"/>
      <c r="D105" s="246" t="s">
        <v>188</v>
      </c>
      <c r="E105" s="258" t="str">
        <f>E96</f>
        <v>Pessimistic Case</v>
      </c>
      <c r="F105" s="248" t="s">
        <v>210</v>
      </c>
      <c r="H105" s="258" t="str">
        <f>H96</f>
        <v>Base Case</v>
      </c>
      <c r="I105" s="246" t="s">
        <v>106</v>
      </c>
      <c r="K105" s="75"/>
    </row>
    <row r="106" spans="2:11" ht="15" customHeight="1" x14ac:dyDescent="0.35">
      <c r="B106" s="2" t="s">
        <v>173</v>
      </c>
      <c r="C106" s="249"/>
      <c r="D106" s="257">
        <f>(D100+D103)/2</f>
        <v>1.1731331986104312</v>
      </c>
      <c r="E106" s="251">
        <f>(E100+E103)/2</f>
        <v>1.3801567042475662</v>
      </c>
      <c r="F106" s="257">
        <f>(F100+F103)/2</f>
        <v>1.3801567042475662</v>
      </c>
      <c r="H106" s="251">
        <f>(H100+H103)/2</f>
        <v>1.3801567042475662</v>
      </c>
      <c r="I106" s="251">
        <f>(I100+I103)/2</f>
        <v>1.6376932238408679</v>
      </c>
      <c r="K106" s="75"/>
    </row>
    <row r="107" spans="2:11" ht="15" customHeight="1" x14ac:dyDescent="0.35">
      <c r="K107" s="75"/>
    </row>
    <row r="108" spans="2:11" ht="15" customHeight="1" x14ac:dyDescent="0.35">
      <c r="B108" s="88" t="s">
        <v>274</v>
      </c>
      <c r="C108" s="265" t="str">
        <f>Inputs!C87</f>
        <v>Dividend</v>
      </c>
      <c r="K108" s="75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3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4E3F7-3175-4D7E-9B2C-B9C406E28DB9}">
  <dimension ref="B2:C11"/>
  <sheetViews>
    <sheetView showGridLines="0" workbookViewId="0">
      <selection activeCell="C46" sqref="C46"/>
    </sheetView>
  </sheetViews>
  <sheetFormatPr defaultRowHeight="11.65" x14ac:dyDescent="0.35"/>
  <cols>
    <col min="1" max="1" width="3" style="290" customWidth="1"/>
    <col min="2" max="2" width="14.86328125" style="290" bestFit="1" customWidth="1"/>
    <col min="3" max="3" width="103.9296875" style="290" customWidth="1"/>
    <col min="4" max="16384" width="9.06640625" style="290"/>
  </cols>
  <sheetData>
    <row r="2" spans="2:3" x14ac:dyDescent="0.35">
      <c r="B2" s="1" t="s">
        <v>266</v>
      </c>
      <c r="C2" s="1"/>
    </row>
    <row r="3" spans="2:3" x14ac:dyDescent="0.35">
      <c r="B3" s="62"/>
      <c r="C3" s="62"/>
    </row>
    <row r="4" spans="2:3" x14ac:dyDescent="0.35">
      <c r="B4" s="60" t="s">
        <v>264</v>
      </c>
      <c r="C4" s="61" t="s">
        <v>265</v>
      </c>
    </row>
    <row r="5" spans="2:3" x14ac:dyDescent="0.35">
      <c r="B5" s="60"/>
      <c r="C5" s="61"/>
    </row>
    <row r="6" spans="2:3" x14ac:dyDescent="0.35">
      <c r="B6" s="63" t="s">
        <v>267</v>
      </c>
      <c r="C6" s="64" t="s">
        <v>268</v>
      </c>
    </row>
    <row r="7" spans="2:3" x14ac:dyDescent="0.35">
      <c r="B7" s="63"/>
      <c r="C7" s="64"/>
    </row>
    <row r="8" spans="2:3" x14ac:dyDescent="0.35">
      <c r="B8" s="298"/>
      <c r="C8" s="65" t="s">
        <v>269</v>
      </c>
    </row>
    <row r="10" spans="2:3" x14ac:dyDescent="0.35">
      <c r="B10" s="291" t="s">
        <v>270</v>
      </c>
    </row>
    <row r="11" spans="2:3" x14ac:dyDescent="0.35">
      <c r="B11" s="292">
        <f>Inputs!C6</f>
        <v>45606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Inputs</vt:lpstr>
      <vt:lpstr>Dashboard</vt:lpstr>
      <vt:lpstr>Data</vt:lpstr>
      <vt:lpstr>Fin_Analysis</vt:lpstr>
      <vt:lpstr>Note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2024-12-27T06:33:36Z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