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80337EA-90A1-40CB-8C54-F863B78FFA7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6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27" i="4"/>
  <c r="E26" i="4"/>
  <c r="D26" i="4"/>
  <c r="C26" i="4"/>
  <c r="D93" i="3"/>
  <c r="F97" i="4" l="1"/>
  <c r="E92" i="4"/>
  <c r="F92" i="4"/>
  <c r="E95" i="4"/>
  <c r="F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27" i="2" l="1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<sst xmlns="http://schemas.openxmlformats.org/spreadsheetml/2006/main" count="403" uniqueCount="286">
  <si>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</si>
  <si>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</si>
  <si>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</si>
  <si>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</si>
  <si>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</si>
  <si>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</si>
  <si>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</si>
  <si>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</si>
  <si>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</si>
  <si>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</si>
  <si>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</si>
  <si>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</si>
  <si>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</si>
  <si>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</si>
  <si>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</si>
  <si>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</si>
  <si>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</si>
  <si>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</si>
  <si>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</si>
  <si>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</si>
  <si>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</si>
  <si>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</si>
  <si>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</si>
  <si>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</si>
  <si>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</si>
  <si>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</si>
  <si>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</si>
  <si>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</si>
  <si>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</si>
  <si>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</si>
  <si>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</si>
  <si>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</si>
  <si>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</si>
  <si>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</si>
  <si>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</si>
  <si>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</si>
  <si>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</si>
  <si>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</si>
  <si>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</si>
  <si>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</si>
  <si>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</si>
  <si>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</si>
  <si>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</si>
  <si>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</si>
  <si>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</si>
  <si>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</si>
  <si>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</si>
  <si>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</si>
  <si>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</si>
  <si>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</si>
  <si>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</si>
  <si>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</si>
  <si>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</si>
  <si>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</si>
  <si>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</si>
  <si>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</si>
  <si>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</si>
  <si>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</si>
  <si>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</si>
  <si>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</si>
  <si>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</si>
  <si>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</si>
  <si>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</si>
  <si>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</si>
  <si>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</si>
  <si>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</si>
  <si>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</si>
  <si>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</si>
  <si>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</si>
  <si>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</si>
  <si>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</si>
  <si>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</si>
  <si>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</si>
  <si>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</si>
  <si>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</si>
  <si>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</si>
  <si>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</si>
  <si>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</si>
  <si>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</si>
  <si>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</si>
  <si>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</si>
  <si>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</si>
  <si>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</si>
  <si>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</si>
  <si>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</si>
  <si>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</si>
  <si>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</si>
  <si>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</si>
  <si>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</si>
  <si>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</si>
  <si>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</si>
  <si>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</si>
  <si>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</si>
  <si>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</si>
  <si>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</si>
  <si>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</si>
  <si>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</si>
  <si>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</si>
  <si>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</si>
  <si>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</si>
  <si>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</si>
  <si>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</si>
  <si>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</si>
  <si>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</si>
  <si>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</si>
  <si>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</si>
  <si>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</si>
  <si>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</si>
  <si>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</si>
  <si>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</si>
  <si>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</si>
  <si>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</si>
  <si>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</si>
  <si>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</si>
  <si>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</si>
  <si>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</si>
  <si>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</si>
  <si>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</si>
  <si>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</si>
  <si>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</si>
  <si>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</si>
  <si>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</si>
  <si>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</si>
  <si>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</si>
  <si>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</si>
  <si>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</si>
  <si>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</si>
  <si>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</si>
  <si>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</si>
  <si>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</si>
  <si>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</si>
  <si>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</si>
  <si>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</si>
  <si>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</si>
  <si>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</si>
  <si>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</si>
  <si>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</si>
  <si>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</si>
  <si>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</si>
  <si>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</si>
  <si>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</si>
  <si>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</si>
  <si>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</si>
  <si>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</si>
  <si>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</si>
  <si>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</si>
  <si>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</si>
  <si>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</si>
  <si>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</si>
  <si>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</si>
  <si>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</si>
  <si>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</si>
  <si>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</si>
  <si>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</si>
  <si>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</si>
  <si>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</si>
  <si>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</si>
  <si>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</si>
  <si>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</si>
  <si>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</si>
  <si>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</si>
  <si>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</si>
  <si>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</si>
  <si>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</si>
  <si>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</si>
  <si>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</si>
  <si>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</si>
  <si>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</si>
  <si>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</si>
  <si>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</si>
  <si>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</si>
  <si>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</si>
  <si>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</si>
  <si>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</si>
  <si>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</si>
  <si>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</si>
  <si>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</si>
  <si>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</si>
  <si>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</si>
  <si>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</si>
  <si>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</si>
  <si>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</si>
  <si>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</si>
  <si>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</si>
  <si>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</si>
  <si>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</si>
  <si>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</si>
  <si>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</si>
  <si>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</si>
  <si>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</si>
  <si>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</si>
  <si>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</si>
  <si>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</si>
  <si>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</si>
  <si>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</si>
  <si>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</si>
  <si>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</si>
  <si>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</si>
  <si>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</si>
  <si>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</si>
  <si>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</si>
  <si>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</si>
  <si>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</si>
  <si>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</si>
  <si>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</si>
  <si>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</si>
  <si>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</si>
  <si>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</si>
  <si>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</si>
  <si>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</si>
  <si>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</si>
  <si>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</si>
  <si>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</si>
  <si>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</si>
  <si>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</si>
  <si>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</si>
  <si>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</si>
  <si>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</si>
  <si>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</si>
  <si>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</si>
  <si>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</si>
  <si>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</si>
  <si>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</si>
  <si>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</si>
  <si>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</si>
  <si>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</si>
  <si>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</si>
  <si>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</si>
  <si>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</si>
  <si>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</si>
  <si>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</si>
  <si>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</si>
  <si>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</si>
  <si>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</si>
  <si>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</si>
  <si>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</si>
  <si>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</si>
  <si>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</si>
  <si>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</si>
  <si>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</si>
  <si>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</si>
  <si>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</si>
  <si>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</si>
  <si>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</si>
  <si>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</si>
  <si>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</si>
  <si>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</si>
  <si>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</si>
  <si>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</si>
  <si>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</si>
  <si>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</si>
  <si>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</si>
  <si>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</si>
  <si>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</si>
  <si>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</si>
  <si>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</si>
  <si>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</si>
  <si>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</si>
  <si>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</si>
  <si>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</si>
  <si>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</si>
  <si>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</si>
  <si>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</si>
  <si>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</si>
  <si>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</si>
  <si>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</si>
  <si>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</si>
  <si>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</si>
  <si>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</si>
  <si>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</si>
  <si>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</si>
  <si>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</si>
  <si>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</si>
  <si>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</si>
  <si>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</si>
  <si>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</si>
  <si>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</si>
  <si>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</si>
  <si>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</si>
  <si>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</si>
  <si>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</si>
  <si>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</si>
  <si>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9618.HK</t>
  </si>
  <si>
    <t>京东-SW</t>
  </si>
  <si>
    <t>C0009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</si>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</sst>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45643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2899000064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1084662</v>
      </c>
      <c r="D25" s="80">
        <v>1046236</v>
      </c>
      <c r="E25" s="80">
        <v>951592</v>
      </c>
      <c r="F25" s="80">
        <v>745802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f>924958+64558</f>
        <v>989516</v>
      </c>
      <c r="D26" s="82">
        <f>899163+63001</f>
        <v>962164</v>
      </c>
      <c r="E26" s="82">
        <f>822526+59055</f>
        <v>881581</v>
      </c>
      <c r="F26" s="82">
        <v>636694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49843</v>
      </c>
      <c r="D27" s="82">
        <f>37772+11053</f>
        <v>48825</v>
      </c>
      <c r="E27" s="82">
        <v>50305</v>
      </c>
      <c r="F27" s="82">
        <v>33565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16393</v>
      </c>
      <c r="D28" s="82">
        <v>16893</v>
      </c>
      <c r="E28" s="82">
        <v>16332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2881</v>
      </c>
      <c r="D29" s="82">
        <v>2106</v>
      </c>
      <c r="E29" s="82">
        <v>1213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332578</v>
      </c>
      <c r="D37" s="82">
        <v>321127</v>
      </c>
      <c r="E37" s="82">
        <v>249723</v>
      </c>
      <c r="F37" s="82">
        <v>200669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296380</v>
      </c>
      <c r="D41" s="82">
        <v>274123</v>
      </c>
      <c r="E41" s="82">
        <v>246784</v>
      </c>
      <c r="F41" s="82">
        <v>221619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64522</v>
      </c>
      <c r="D42" s="82">
        <v>60757</v>
      </c>
      <c r="E42" s="82">
        <v>37873</v>
      </c>
      <c r="F42" s="82">
        <v>34076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2.3252845295556366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1.8217063468985686E-2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1084662</v>
      </c>
      <c r="D91" s="103"/>
      <c r="E91" s="104">
        <f>C91</f>
        <v>1084662</v>
      </c>
      <c r="F91" s="104">
        <f>C91</f>
        <v>1084662</v>
      </c>
    </row>
    <row r="92" spans="2:8" x14ac:dyDescent="0.35">
      <c r="B92" s="105" t="s">
        <v>97</v>
      </c>
      <c r="C92" s="102">
        <f>C26</f>
        <v>989516</v>
      </c>
      <c r="D92" s="106">
        <f>C92/C91</f>
        <v>0.91228050766045088</v>
      </c>
      <c r="E92" s="107">
        <f>E91*D92</f>
        <v>989516</v>
      </c>
      <c r="F92" s="107">
        <f>F91*D92</f>
        <v>989516</v>
      </c>
    </row>
    <row r="93" spans="2:8" x14ac:dyDescent="0.35">
      <c r="B93" s="105" t="s">
        <v>218</v>
      </c>
      <c r="C93" s="102">
        <f>C27+C28</f>
        <v>66236</v>
      </c>
      <c r="D93" s="106">
        <f>C93/C91</f>
        <v>6.1066027942345176E-2</v>
      </c>
      <c r="E93" s="107">
        <f>E91*D93</f>
        <v>66236</v>
      </c>
      <c r="F93" s="107">
        <f>F91*D93</f>
        <v>66236</v>
      </c>
    </row>
    <row r="94" spans="2:8" x14ac:dyDescent="0.35">
      <c r="B94" s="105" t="s">
        <v>224</v>
      </c>
      <c r="C94" s="102">
        <f>C29</f>
        <v>2881</v>
      </c>
      <c r="D94" s="106">
        <f>C94/C91</f>
        <v>2.6561269778050674E-3</v>
      </c>
      <c r="E94" s="108"/>
      <c r="F94" s="107">
        <f>F91*D94</f>
        <v>2881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2.3252845295556366</v>
      </c>
      <c r="D98" s="110"/>
      <c r="E98" s="111">
        <f>F98</f>
        <v>2.3252845295556366</v>
      </c>
      <c r="F98" s="111">
        <f>C98</f>
        <v>2.3252845295556366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9618.HK : 京东-SW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9618.HK</v>
      </c>
      <c r="D3" s="316"/>
      <c r="E3" s="3"/>
      <c r="F3" s="9" t="s">
        <v>1</v>
      </c>
      <c r="G3" s="10">
        <v>135.80000000000001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京东-SW</v>
      </c>
      <c r="D4" s="318"/>
      <c r="E4" s="3"/>
      <c r="F4" s="9" t="s">
        <v>2</v>
      </c>
      <c r="G4" s="321">
        <f>Inputs!C10</f>
        <v>2899000064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45643</v>
      </c>
      <c r="D5" s="320"/>
      <c r="E5" s="16"/>
      <c r="F5" s="12" t="s">
        <v>91</v>
      </c>
      <c r="G5" s="313">
        <f>G3*G4/1000000</f>
        <v>393684.20869120001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0.1246883868574731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2.6653464397203921E-2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1.7245380454656749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2.7126862131131988</v>
      </c>
      <c r="F23" s="39" t="s">
        <v>165</v>
      </c>
      <c r="G23" s="40">
        <f>G3/(Data!C34*Data!C4/Common_Shares*Exchange_Rate)</f>
        <v>1.2485244799022559</v>
      </c>
    </row>
    <row r="24" spans="1:8" ht="15.75" customHeight="1" x14ac:dyDescent="0.35">
      <c r="B24" s="41" t="s">
        <v>241</v>
      </c>
      <c r="C24" s="42">
        <f>Fin_Analysis!I81</f>
        <v>2.6561269778050674E-3</v>
      </c>
      <c r="F24" s="39" t="s">
        <v>226</v>
      </c>
      <c r="G24" s="43">
        <f>G3/(Fin_Analysis!H86*G7)</f>
        <v>18.955149274702862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0.34530715740136003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1.8217063468985686E-2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28910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1084662</v>
      </c>
      <c r="D6" s="147">
        <f>IF(Inputs!D25="","",Inputs!D25)</f>
        <v>1046236</v>
      </c>
      <c r="E6" s="147">
        <f>IF(Inputs!E25="","",Inputs!E25)</f>
        <v>951592</v>
      </c>
      <c r="F6" s="147">
        <f>IF(Inputs!F25="","",Inputs!F25)</f>
        <v>745802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3.6727851077577034E-2</v>
      </c>
      <c r="D7" s="148">
        <f t="shared" si="1"/>
        <v>9.945859149719638E-2</v>
      </c>
      <c r="E7" s="148">
        <f t="shared" si="1"/>
        <v>0.27593114526375628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989516</v>
      </c>
      <c r="D8" s="149">
        <f>IF(Inputs!D26="","",Inputs!D26)</f>
        <v>962164</v>
      </c>
      <c r="E8" s="149">
        <f>IF(Inputs!E26="","",Inputs!E26)</f>
        <v>881581</v>
      </c>
      <c r="F8" s="149">
        <f>IF(Inputs!F26="","",Inputs!F26)</f>
        <v>636694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95146</v>
      </c>
      <c r="D9" s="279">
        <f t="shared" si="2"/>
        <v>84072</v>
      </c>
      <c r="E9" s="279">
        <f t="shared" si="2"/>
        <v>70011</v>
      </c>
      <c r="F9" s="279">
        <f t="shared" si="2"/>
        <v>109108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49843</v>
      </c>
      <c r="D10" s="149">
        <f>IF(Inputs!D27="","",Inputs!D27)</f>
        <v>48825</v>
      </c>
      <c r="E10" s="149">
        <f>IF(Inputs!E27="","",Inputs!E27)</f>
        <v>50305</v>
      </c>
      <c r="F10" s="149">
        <f>IF(Inputs!F27="","",Inputs!F27)</f>
        <v>33565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16393</v>
      </c>
      <c r="D11" s="149">
        <f>IF(Inputs!D28="","",Inputs!D28)</f>
        <v>16893</v>
      </c>
      <c r="E11" s="149">
        <f>IF(Inputs!E28="","",Inputs!E28)</f>
        <v>16332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2.6653464397203921E-2</v>
      </c>
      <c r="D13" s="300">
        <f t="shared" si="3"/>
        <v>1.7542887073279834E-2</v>
      </c>
      <c r="E13" s="300">
        <f t="shared" si="3"/>
        <v>3.5456372058613357E-3</v>
      </c>
      <c r="F13" s="300">
        <f t="shared" si="3"/>
        <v>0.10129095926264611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28910</v>
      </c>
      <c r="D14" s="302">
        <f t="shared" ref="D14:M14" si="4">IF(D6="","",D9-D10-MAX(D11,0)-MAX(D12,0))</f>
        <v>18354</v>
      </c>
      <c r="E14" s="302">
        <f t="shared" si="4"/>
        <v>3374</v>
      </c>
      <c r="F14" s="302">
        <f t="shared" si="4"/>
        <v>75543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0.57513348588863467</v>
      </c>
      <c r="D15" s="304">
        <f t="shared" ref="D15:M15" si="5">IF(E14="","",IF(ABS(D14+E14)=ABS(D14)+ABS(E14),IF(D14&lt;0,-1,1)*(D14-E14)/E14,"Turn"))</f>
        <v>4.4398340248962658</v>
      </c>
      <c r="E15" s="304">
        <f t="shared" si="5"/>
        <v>-0.95533669565677826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2881</v>
      </c>
      <c r="D17" s="149">
        <f>IF(Inputs!D29="","",Inputs!D29)</f>
        <v>2106</v>
      </c>
      <c r="E17" s="149">
        <f>IF(Inputs!E29="","",Inputs!E29)</f>
        <v>1213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26029</v>
      </c>
      <c r="D22" s="283">
        <f t="shared" ref="D22:M22" si="8">IF(D6="","",D14-MAX(D16,0)-MAX(D17,0)-ABS(MAX(D21,0)-MAX(D19,0)))</f>
        <v>16248</v>
      </c>
      <c r="E22" s="283">
        <f t="shared" si="8"/>
        <v>2161</v>
      </c>
      <c r="F22" s="283">
        <f t="shared" si="8"/>
        <v>75543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1.7998003064549142E-2</v>
      </c>
      <c r="D23" s="148">
        <f t="shared" si="9"/>
        <v>1.1647467684155392E-2</v>
      </c>
      <c r="E23" s="148">
        <f t="shared" si="9"/>
        <v>1.7031984295790632E-3</v>
      </c>
      <c r="F23" s="148">
        <f t="shared" si="9"/>
        <v>7.5968219446984592E-2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19521.75</v>
      </c>
      <c r="D24" s="282">
        <f>IF(D6="","",D22*(1-Fin_Analysis!$I$84))</f>
        <v>12186</v>
      </c>
      <c r="E24" s="282">
        <f>IF(E6="","",E22*(1-Fin_Analysis!$I$84))</f>
        <v>1620.75</v>
      </c>
      <c r="F24" s="282">
        <f>IF(F6="","",F22*(1-Fin_Analysis!$I$84))</f>
        <v>56657.25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0.6019817823732152</v>
      </c>
      <c r="D25" s="152">
        <f t="shared" ref="D25:M25" si="10">IF(E24="","",IF(ABS(D24+E24)=ABS(D24)+ABS(E24),IF(D24&lt;0,-1,1)*(D24-E24)/E24,"Turn"))</f>
        <v>6.5187413234613603</v>
      </c>
      <c r="E25" s="152">
        <f t="shared" si="10"/>
        <v>-0.97139377573037877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628958</v>
      </c>
      <c r="D27" s="153">
        <f>IF(D34="","",D34+D30)</f>
        <v>595250</v>
      </c>
      <c r="E27" s="153">
        <f t="shared" ref="E27:M27" si="20">IF(E34="","",E34+E30)</f>
        <v>496507</v>
      </c>
      <c r="F27" s="153">
        <f t="shared" si="20"/>
        <v>422288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332578</v>
      </c>
      <c r="D30" s="149">
        <f>IF(Inputs!D37="","",Inputs!D37)</f>
        <v>321127</v>
      </c>
      <c r="E30" s="149">
        <f>IF(Inputs!E37="","",Inputs!E37)</f>
        <v>249723</v>
      </c>
      <c r="F30" s="149">
        <f>IF(Inputs!F37="","",Inputs!F37)</f>
        <v>200669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296380</v>
      </c>
      <c r="D34" s="149">
        <f>IF(Inputs!D41="","",Inputs!D41)</f>
        <v>274123</v>
      </c>
      <c r="E34" s="149">
        <f>IF(Inputs!E41="","",Inputs!E41)</f>
        <v>246784</v>
      </c>
      <c r="F34" s="149">
        <f>IF(Inputs!F41="","",Inputs!F41)</f>
        <v>221619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64522</v>
      </c>
      <c r="D35" s="149">
        <f>IF(Inputs!D42="","",Inputs!D42)</f>
        <v>60757</v>
      </c>
      <c r="E35" s="149">
        <f>IF(Inputs!E42="","",Inputs!E42)</f>
        <v>37873</v>
      </c>
      <c r="F35" s="149">
        <f>IF(Inputs!F42="","",Inputs!F42)</f>
        <v>34076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628958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4.5964913396443006E-2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0.91228050766045088</v>
      </c>
      <c r="D40" s="156">
        <f t="shared" si="34"/>
        <v>0.91964336918247891</v>
      </c>
      <c r="E40" s="156">
        <f t="shared" si="34"/>
        <v>0.92642750254310668</v>
      </c>
      <c r="F40" s="156">
        <f t="shared" si="34"/>
        <v>0.85370379805900221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6.1066027942345176E-2</v>
      </c>
      <c r="D41" s="151">
        <f t="shared" si="35"/>
        <v>6.2813743744241257E-2</v>
      </c>
      <c r="E41" s="151">
        <f t="shared" si="35"/>
        <v>7.0026860251031955E-2</v>
      </c>
      <c r="F41" s="151">
        <f t="shared" si="35"/>
        <v>4.5005242678351626E-2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2.6561269778050674E-3</v>
      </c>
      <c r="D43" s="151">
        <f t="shared" si="37"/>
        <v>2.0129301610726453E-3</v>
      </c>
      <c r="E43" s="151">
        <f t="shared" si="37"/>
        <v>1.2747059664225844E-3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2.3997337419398853E-2</v>
      </c>
      <c r="D46" s="289">
        <f t="shared" si="40"/>
        <v>1.5529956912207189E-2</v>
      </c>
      <c r="E46" s="289">
        <f t="shared" si="40"/>
        <v>2.2709312394387508E-3</v>
      </c>
      <c r="F46" s="289">
        <f t="shared" si="40"/>
        <v>0.10129095926264611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1.7245380454656749</v>
      </c>
      <c r="D48" s="159">
        <f t="shared" si="41"/>
        <v>1.7576413271734566</v>
      </c>
      <c r="E48" s="159">
        <f t="shared" si="41"/>
        <v>1.9165731802371366</v>
      </c>
      <c r="F48" s="159">
        <f t="shared" si="41"/>
        <v>1.7660980184139734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0.36863828745321625</v>
      </c>
      <c r="D53" s="156">
        <f t="shared" si="45"/>
        <v>0.3584477110457791</v>
      </c>
      <c r="E53" s="156">
        <f t="shared" si="45"/>
        <v>0.4207614394157585</v>
      </c>
      <c r="F53" s="156">
        <f t="shared" si="45"/>
        <v>0.44411160156101998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0.11068423681278573</v>
      </c>
      <c r="D55" s="151">
        <f t="shared" si="47"/>
        <v>0.12961595273264401</v>
      </c>
      <c r="E55" s="151">
        <f t="shared" si="47"/>
        <v>0.56131420638593243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0.1246883868574731</v>
      </c>
      <c r="D58" s="162">
        <f t="shared" si="49"/>
        <v>8.6021203003290123E-2</v>
      </c>
      <c r="E58" s="162">
        <f t="shared" si="49"/>
        <v>1.6150418120635102E-2</v>
      </c>
      <c r="F58" s="162">
        <f t="shared" si="49"/>
        <v>0.40280362370229761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0.11226267801844232</v>
      </c>
      <c r="D59" s="162">
        <f t="shared" si="50"/>
        <v>7.6150839402716455E-2</v>
      </c>
      <c r="E59" s="162">
        <f t="shared" si="50"/>
        <v>1.0344117830080752E-2</v>
      </c>
      <c r="F59" s="162">
        <f t="shared" si="50"/>
        <v>0.40280362370229761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296380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231858</v>
      </c>
      <c r="K3" s="75"/>
    </row>
    <row r="4" spans="1:11" ht="15" customHeight="1" x14ac:dyDescent="0.35">
      <c r="B4" s="9" t="s">
        <v>21</v>
      </c>
      <c r="C4" s="3"/>
      <c r="D4" s="149">
        <f>Inputs!C42</f>
        <v>64522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-413135.29649225337</v>
      </c>
      <c r="E6" s="176">
        <f>1-D6/D3</f>
        <v>2.3939378382220573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332578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332578</v>
      </c>
      <c r="J48" s="193"/>
    </row>
    <row r="49" spans="2:11" ht="15" customHeight="1" thickTop="1" x14ac:dyDescent="0.35">
      <c r="B49" s="9" t="s">
        <v>13</v>
      </c>
      <c r="C49" s="190">
        <f>Inputs!C41+Inputs!C37</f>
        <v>628958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332578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64522</v>
      </c>
      <c r="D53" s="34">
        <f>IF(E53=0, 0,E53/C53)</f>
        <v>1.2485244799022559</v>
      </c>
      <c r="E53" s="182">
        <f>IF(C53=0,0,MAX(C53,C53*Dashboard!G23))</f>
        <v>80557.296492253357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-122.0526832472829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-122.0526832472829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-122.0526832472829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628958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332578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296380</v>
      </c>
      <c r="D70" s="34">
        <f t="shared" si="2"/>
        <v>-1.1221337472164115</v>
      </c>
      <c r="E70" s="208">
        <f>E68-E69</f>
        <v>-332578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1084662</v>
      </c>
      <c r="D74" s="103"/>
      <c r="E74" s="262">
        <f>Inputs!E91</f>
        <v>1084662</v>
      </c>
      <c r="F74" s="103"/>
      <c r="H74" s="262">
        <f>Inputs!F91</f>
        <v>1084662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989516</v>
      </c>
      <c r="D75" s="106">
        <f>C75/$C$74</f>
        <v>0.91228050766045088</v>
      </c>
      <c r="E75" s="262">
        <f>Inputs!E92</f>
        <v>989516</v>
      </c>
      <c r="F75" s="217">
        <f>E75/E74</f>
        <v>0.91228050766045088</v>
      </c>
      <c r="H75" s="262">
        <f>Inputs!F92</f>
        <v>989516</v>
      </c>
      <c r="I75" s="217">
        <f>H75/$H$74</f>
        <v>0.91228050766045088</v>
      </c>
      <c r="K75" s="75"/>
    </row>
    <row r="76" spans="1:11" ht="15" customHeight="1" x14ac:dyDescent="0.35">
      <c r="B76" s="12" t="s">
        <v>87</v>
      </c>
      <c r="C76" s="150">
        <f>C74-C75</f>
        <v>95146</v>
      </c>
      <c r="D76" s="218"/>
      <c r="E76" s="219">
        <f>E74-E75</f>
        <v>95146</v>
      </c>
      <c r="F76" s="218"/>
      <c r="H76" s="219">
        <f>H74-H75</f>
        <v>95146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66236</v>
      </c>
      <c r="D77" s="106">
        <f>C77/$C$74</f>
        <v>6.1066027942345176E-2</v>
      </c>
      <c r="E77" s="262">
        <f>Inputs!E93</f>
        <v>66236</v>
      </c>
      <c r="F77" s="217">
        <f>E77/E74</f>
        <v>6.1066027942345176E-2</v>
      </c>
      <c r="H77" s="262">
        <f>Inputs!F93</f>
        <v>66236</v>
      </c>
      <c r="I77" s="217">
        <f>H77/$H$74</f>
        <v>6.1066027942345176E-2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28910</v>
      </c>
      <c r="D79" s="223">
        <f>C79/C74</f>
        <v>2.6653464397203921E-2</v>
      </c>
      <c r="E79" s="224">
        <f>E76-E77-E78</f>
        <v>28910</v>
      </c>
      <c r="F79" s="223">
        <f>E79/E74</f>
        <v>2.6653464397203921E-2</v>
      </c>
      <c r="G79" s="225"/>
      <c r="H79" s="224">
        <f>H76-H77-H78</f>
        <v>28910</v>
      </c>
      <c r="I79" s="223">
        <f>H79/H74</f>
        <v>2.6653464397203921E-2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2881</v>
      </c>
      <c r="D81" s="106">
        <f>C81/$C$74</f>
        <v>2.6561269778050674E-3</v>
      </c>
      <c r="E81" s="220">
        <f>E74*F81</f>
        <v>2881</v>
      </c>
      <c r="F81" s="217">
        <f>I81</f>
        <v>2.6561269778050674E-3</v>
      </c>
      <c r="H81" s="262">
        <f>Inputs!F94</f>
        <v>2881</v>
      </c>
      <c r="I81" s="217">
        <f>H81/$H$74</f>
        <v>2.6561269778050674E-3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26029</v>
      </c>
      <c r="D83" s="229">
        <f>C83/$C$74</f>
        <v>2.3997337419398853E-2</v>
      </c>
      <c r="E83" s="230">
        <f>E79-E81-E82-E80</f>
        <v>26029</v>
      </c>
      <c r="F83" s="229">
        <f>E83/E74</f>
        <v>2.3997337419398853E-2</v>
      </c>
      <c r="H83" s="230">
        <f>H79-H81-H82-H80</f>
        <v>26029</v>
      </c>
      <c r="I83" s="229">
        <f>H83/$H$74</f>
        <v>2.3997337419398853E-2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19521.75</v>
      </c>
      <c r="D85" s="223">
        <f>C85/$C$74</f>
        <v>1.7998003064549142E-2</v>
      </c>
      <c r="E85" s="235">
        <f>E83*(1-F84)</f>
        <v>19521.75</v>
      </c>
      <c r="F85" s="223">
        <f>E85/E74</f>
        <v>1.7998003064549142E-2</v>
      </c>
      <c r="G85" s="225"/>
      <c r="H85" s="235">
        <f>H83*(1-I84)</f>
        <v>19521.75</v>
      </c>
      <c r="I85" s="223">
        <f>H85/$H$74</f>
        <v>1.7998003064549142E-2</v>
      </c>
      <c r="K85" s="75"/>
    </row>
    <row r="86" spans="1:11" ht="15" customHeight="1" x14ac:dyDescent="0.35">
      <c r="B86" s="3" t="s">
        <v>145</v>
      </c>
      <c r="C86" s="236">
        <f>C85*Data!C4/Common_Shares</f>
        <v>6.7339598375393486</v>
      </c>
      <c r="D86" s="103"/>
      <c r="E86" s="237">
        <f>E85*Data!C4/Common_Shares</f>
        <v>6.7339598375393486</v>
      </c>
      <c r="F86" s="103"/>
      <c r="H86" s="237">
        <f>H85*Data!C4/Common_Shares</f>
        <v>6.7339598375393486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5.2756113154676057E-2</v>
      </c>
      <c r="D87" s="103"/>
      <c r="E87" s="239">
        <f>E86*Exchange_Rate/Dashboard!G3</f>
        <v>5.2756113154676057E-2</v>
      </c>
      <c r="F87" s="103"/>
      <c r="H87" s="239">
        <f>H86*Exchange_Rate/Dashboard!G3</f>
        <v>5.2756113154676057E-2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2.3252845295556366</v>
      </c>
      <c r="D88" s="241">
        <f>C88/C86</f>
        <v>0.34530715740136003</v>
      </c>
      <c r="E88" s="261">
        <f>Inputs!E98</f>
        <v>2.3252845295556366</v>
      </c>
      <c r="F88" s="241">
        <f>E88/E86</f>
        <v>0.34530715740136003</v>
      </c>
      <c r="H88" s="261">
        <f>Inputs!F98</f>
        <v>2.3252845295556366</v>
      </c>
      <c r="I88" s="241">
        <f>H88/H86</f>
        <v>0.34530715740136003</v>
      </c>
      <c r="K88" s="75"/>
    </row>
    <row r="89" spans="1:11" ht="15" customHeight="1" x14ac:dyDescent="0.35">
      <c r="B89" s="3" t="s">
        <v>195</v>
      </c>
      <c r="C89" s="238">
        <f>C88*Exchange_Rate/Dashboard!G3</f>
        <v>1.8217063468985686E-2</v>
      </c>
      <c r="D89" s="103"/>
      <c r="E89" s="238">
        <f>E88*Exchange_Rate/Dashboard!G3</f>
        <v>1.8217063468985686E-2</v>
      </c>
      <c r="F89" s="103"/>
      <c r="H89" s="238">
        <f>H88*Exchange_Rate/Dashboard!G3</f>
        <v>1.8217063468985686E-2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148.60497539648509</v>
      </c>
      <c r="H93" s="3" t="s">
        <v>184</v>
      </c>
      <c r="I93" s="243">
        <f>FV(H87,D93,0,-(H86/(C93-D94)))*Exchange_Rate</f>
        <v>148.60497539648509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46.427652676248762</v>
      </c>
      <c r="H94" s="3" t="s">
        <v>185</v>
      </c>
      <c r="I94" s="243">
        <f>FV(H89,D93,0,-(H88/(C93-D94)))*Exchange_Rate</f>
        <v>46.427652676248762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283261.82834560948</v>
      </c>
      <c r="D97" s="250"/>
      <c r="E97" s="251">
        <f>PV(C94,D93,0,-F93)</f>
        <v>97.710183543345195</v>
      </c>
      <c r="F97" s="250"/>
      <c r="H97" s="251">
        <f>PV(C94,D93,0,-I93)</f>
        <v>97.710183543345195</v>
      </c>
      <c r="I97" s="251">
        <f>PV(C93,D93,0,-I93)</f>
        <v>115.94285271861447</v>
      </c>
      <c r="K97" s="75"/>
    </row>
    <row r="98" spans="2:11" ht="15" customHeight="1" x14ac:dyDescent="0.35">
      <c r="B98" s="18" t="s">
        <v>134</v>
      </c>
      <c r="C98" s="249">
        <f>-E53*Exchange_Rate</f>
        <v>-85705.150526937068</v>
      </c>
      <c r="D98" s="250"/>
      <c r="E98" s="250"/>
      <c r="F98" s="250"/>
      <c r="H98" s="251">
        <f>C98*Data!$C$4/Common_Shares</f>
        <v>-29.563693906471425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-353830.73654524487</v>
      </c>
      <c r="D99" s="254"/>
      <c r="E99" s="255">
        <f>IF(H99&gt;0,I64,H99)</f>
        <v>-122.0526832472829</v>
      </c>
      <c r="F99" s="254"/>
      <c r="H99" s="255">
        <f>I64</f>
        <v>-122.0526832472829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25.947894978095807</v>
      </c>
      <c r="E103" s="251">
        <f>PV(C94,D93,0,-F94)</f>
        <v>30.526935268348009</v>
      </c>
      <c r="F103" s="257">
        <f>(E103+H103)/2</f>
        <v>30.526935268348009</v>
      </c>
      <c r="H103" s="251">
        <f>PV(C94,D93,0,-I94)</f>
        <v>30.526935268348009</v>
      </c>
      <c r="I103" s="257">
        <f>PV(C93,D93,0,-I94)</f>
        <v>36.223245432740867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12.973947489047903</v>
      </c>
      <c r="E106" s="251">
        <f>(E100+E103)/2</f>
        <v>15.263467634174004</v>
      </c>
      <c r="F106" s="257">
        <f>(F100+F103)/2</f>
        <v>15.263467634174004</v>
      </c>
      <c r="H106" s="251">
        <f>(H100+H103)/2</f>
        <v>15.263467634174004</v>
      </c>
      <c r="I106" s="251">
        <f>(I100+I103)/2</f>
        <v>18.111622716370434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