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A66F3952-64EF-48A7-997F-CB862AC0C20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3" i="3" l="1"/>
  <c r="F98" i="4"/>
  <c r="E98" i="4" s="1"/>
  <c r="F94" i="4"/>
  <c r="F93" i="4"/>
  <c r="F91" i="4"/>
  <c r="F92" i="4" s="1"/>
  <c r="E91" i="4"/>
  <c r="E93" i="4" s="1"/>
  <c r="E92" i="4" l="1"/>
  <c r="F97" i="4"/>
  <c r="F96" i="4"/>
  <c r="B11" i="5" l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53" i="4" l="1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F95" i="4" l="1"/>
  <c r="E95" i="4"/>
  <c r="E82" i="3" s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<sst xmlns="http://schemas.openxmlformats.org/spreadsheetml/2006/main" count="403" uniqueCount="286">
  <si>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</si>
  <si>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</si>
  <si>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</si>
  <si>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</si>
  <si>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</si>
  <si>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</si>
  <si>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</si>
  <si>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</si>
  <si>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</si>
  <si>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</si>
  <si>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</si>
  <si>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</si>
  <si>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</si>
  <si>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</si>
  <si>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</si>
  <si>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</si>
  <si>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</si>
  <si>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</si>
  <si>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</si>
  <si>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</si>
  <si>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</si>
  <si>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</si>
  <si>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</si>
  <si>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</si>
  <si>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</si>
  <si>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</si>
  <si>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</si>
  <si>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</si>
  <si>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</si>
  <si>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</si>
  <si>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</si>
  <si>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</si>
  <si>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</si>
  <si>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</si>
  <si>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</si>
  <si>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</si>
  <si>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</si>
  <si>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</si>
  <si>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</si>
  <si>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</si>
  <si>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</si>
  <si>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</si>
  <si>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</si>
  <si>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</si>
  <si>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</si>
  <si>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</si>
  <si>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</si>
  <si>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</si>
  <si>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</si>
  <si>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</si>
  <si>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</si>
  <si>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</si>
  <si>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</si>
  <si>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</si>
  <si>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</si>
  <si>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</si>
  <si>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</si>
  <si>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</si>
  <si>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</si>
  <si>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</si>
  <si>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</si>
  <si>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</si>
  <si>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</si>
  <si>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</si>
  <si>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</si>
  <si>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</si>
  <si>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</si>
  <si>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</si>
  <si>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</si>
  <si>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</si>
  <si>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</si>
  <si>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</si>
  <si>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</si>
  <si>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</si>
  <si>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</si>
  <si>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</si>
  <si>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</si>
  <si>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</si>
  <si>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</si>
  <si>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</si>
  <si>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</si>
  <si>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</si>
  <si>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</si>
  <si>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</si>
  <si>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</si>
  <si>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</si>
  <si>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</si>
  <si>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</si>
  <si>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</si>
  <si>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</si>
  <si>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</si>
  <si>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</si>
  <si>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</si>
  <si>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</si>
  <si>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</si>
  <si>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</si>
  <si>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</si>
  <si>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</si>
  <si>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</si>
  <si>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</si>
  <si>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</si>
  <si>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</si>
  <si>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</si>
  <si>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</si>
  <si>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</si>
  <si>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</si>
  <si>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</si>
  <si>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</si>
  <si>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</si>
  <si>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</si>
  <si>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</si>
  <si>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</si>
  <si>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</si>
  <si>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</si>
  <si>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</si>
  <si>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</si>
  <si>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</si>
  <si>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</si>
  <si>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</si>
  <si>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</si>
  <si>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</si>
  <si>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</si>
  <si>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</si>
  <si>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</si>
  <si>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</si>
  <si>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</si>
  <si>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</si>
  <si>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</si>
  <si>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</si>
  <si>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</si>
  <si>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</si>
  <si>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</si>
  <si>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</si>
  <si>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</si>
  <si>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</si>
  <si>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</si>
  <si>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</si>
  <si>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</si>
  <si>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</si>
  <si>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</si>
  <si>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</si>
  <si>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</si>
  <si>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</si>
  <si>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</si>
  <si>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</si>
  <si>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</si>
  <si>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</si>
  <si>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</si>
  <si>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</si>
  <si>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</si>
  <si>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</si>
  <si>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</si>
  <si>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</si>
  <si>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</si>
  <si>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</si>
  <si>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</si>
  <si>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</si>
  <si>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</si>
  <si>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</si>
  <si>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</si>
  <si>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</si>
  <si>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</si>
  <si>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</si>
  <si>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</si>
  <si>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</si>
  <si>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</si>
  <si>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</si>
  <si>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</si>
  <si>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</si>
  <si>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</si>
  <si>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</si>
  <si>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</si>
  <si>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</si>
  <si>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</si>
  <si>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</si>
  <si>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</si>
  <si>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</si>
  <si>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</si>
  <si>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</si>
  <si>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</si>
  <si>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</si>
  <si>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</si>
  <si>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</si>
  <si>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</si>
  <si>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</si>
  <si>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</si>
  <si>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</si>
  <si>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</si>
  <si>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</si>
  <si>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</si>
  <si>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</si>
  <si>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</si>
  <si>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</si>
  <si>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</si>
  <si>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</si>
  <si>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</si>
  <si>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</si>
  <si>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</si>
  <si>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</si>
  <si>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</si>
  <si>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</si>
  <si>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</si>
  <si>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</si>
  <si>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</si>
  <si>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</si>
  <si>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</si>
  <si>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</si>
  <si>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</si>
  <si>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</si>
  <si>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</si>
  <si>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</si>
  <si>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</si>
  <si>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</si>
  <si>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</si>
  <si>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</si>
  <si>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</si>
  <si>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</si>
  <si>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</si>
  <si>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</si>
  <si>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</si>
  <si>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</si>
  <si>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</si>
  <si>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</si>
  <si>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</si>
  <si>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</si>
  <si>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</si>
  <si>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</si>
  <si>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</si>
  <si>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</si>
  <si>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</si>
  <si>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</si>
  <si>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</si>
  <si>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</si>
  <si>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</si>
  <si>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</si>
  <si>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</si>
  <si>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</si>
  <si>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</si>
  <si>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</si>
  <si>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</si>
  <si>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</si>
  <si>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</si>
  <si>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</si>
  <si>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</si>
  <si>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</si>
  <si>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</si>
  <si>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</si>
  <si>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</si>
  <si>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</si>
  <si>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</si>
  <si>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</si>
  <si>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</si>
  <si>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</si>
  <si>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</si>
  <si>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</si>
  <si>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</si>
  <si>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</si>
  <si>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</si>
  <si>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</si>
  <si>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</si>
  <si>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</si>
  <si>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</si>
  <si>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</si>
  <si>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</si>
  <si>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</si>
  <si>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</si>
  <si>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</si>
  <si>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</si>
  <si>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</si>
  <si>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</si>
  <si>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</si>
  <si>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</si>
  <si>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</si>
  <si>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</si>
  <si>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</si>
  <si>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</si>
  <si>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</si>
  <si>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</si>
  <si>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Template</t>
  </si>
  <si>
    <t>C0003</t>
  </si>
  <si>
    <t>CN</t>
  </si>
  <si>
    <t>Unclear</t>
  </si>
  <si>
    <t>Profit</t>
  </si>
  <si>
    <t>0590.HK</t>
    <phoneticPr fontId="3" type="noConversion"/>
  </si>
  <si>
    <t>Reinvest Nonop @</t>
    <phoneticPr fontId="3" type="noConversion"/>
  </si>
  <si>
    <t>PlaceHolder_5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</si>
</sst>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0" fontId="16" fillId="6" borderId="3" xfId="0" quotePrefix="1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22" zoomScaleNormal="100" workbookViewId="0">
      <selection activeCell="B41" sqref="B41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</row>
    <row r="5" spans="1:5" x14ac:dyDescent="0.35">
      <c r="B5" s="46" t="s">
        <v>171</v>
      </c>
      <c r="C5" s="67" t="s">
        <v>278</v>
      </c>
    </row>
    <row r="6" spans="1:5" x14ac:dyDescent="0.35">
      <c r="B6" s="46" t="s">
        <v>272</v>
      </c>
      <c r="C6" s="68">
        <v>45624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279</v>
      </c>
    </row>
    <row r="10" spans="1:5" x14ac:dyDescent="0.35">
      <c r="B10" s="39" t="s">
        <v>193</v>
      </c>
      <c r="C10" s="70">
        <v>587107850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280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281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0.3</v>
      </c>
      <c r="E66" s="267" t="s">
        <v>39</v>
      </c>
    </row>
    <row r="67" spans="2:5" x14ac:dyDescent="0.35">
      <c r="B67" s="2" t="s">
        <v>42</v>
      </c>
      <c r="C67" s="91"/>
      <c r="D67" s="114">
        <v>0.2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24" t="s">
        <v>285</v>
      </c>
      <c r="C86" s="84"/>
      <c r="D86" s="305"/>
    </row>
    <row r="87" spans="2:8" x14ac:dyDescent="0.35">
      <c r="B87" s="88" t="s">
        <v>220</v>
      </c>
      <c r="C87" s="112" t="s">
        <v>282</v>
      </c>
      <c r="D87" s="113">
        <v>0.02</v>
      </c>
    </row>
    <row r="89" spans="2:8" x14ac:dyDescent="0.35">
      <c r="B89" s="99" t="s">
        <v>118</v>
      </c>
      <c r="C89" s="308">
        <f>C24</f>
        <v>45291</v>
      </c>
      <c r="D89" s="308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09" t="s">
        <v>93</v>
      </c>
      <c r="D90" s="309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0</v>
      </c>
      <c r="D91" s="103"/>
      <c r="E91" s="104">
        <f>C91</f>
        <v>0</v>
      </c>
      <c r="F91" s="104">
        <f>C91</f>
        <v>0</v>
      </c>
    </row>
    <row r="92" spans="2:8" x14ac:dyDescent="0.35">
      <c r="B92" s="105" t="s">
        <v>98</v>
      </c>
      <c r="C92" s="102">
        <f>C26</f>
        <v>0</v>
      </c>
      <c r="D92" s="106" t="e">
        <f>C92/C91</f>
        <v>#DIV/0!</v>
      </c>
      <c r="E92" s="107" t="e">
        <f>E91*D92</f>
        <v>#DIV/0!</v>
      </c>
      <c r="F92" s="107" t="e">
        <f>F91*D92</f>
        <v>#DIV/0!</v>
      </c>
    </row>
    <row r="93" spans="2:8" x14ac:dyDescent="0.35">
      <c r="B93" s="105" t="s">
        <v>219</v>
      </c>
      <c r="C93" s="102">
        <f>C27+C28</f>
        <v>0</v>
      </c>
      <c r="D93" s="106" t="e">
        <f>C93/C91</f>
        <v>#DIV/0!</v>
      </c>
      <c r="E93" s="107" t="e">
        <f>E91*D93</f>
        <v>#DIV/0!</v>
      </c>
      <c r="F93" s="107" t="e">
        <f>F91*D93</f>
        <v>#DIV/0!</v>
      </c>
    </row>
    <row r="94" spans="2:8" x14ac:dyDescent="0.35">
      <c r="B94" s="105" t="s">
        <v>225</v>
      </c>
      <c r="C94" s="102">
        <f>C29</f>
        <v>0</v>
      </c>
      <c r="D94" s="106" t="e">
        <f>C94/C91</f>
        <v>#DIV/0!</v>
      </c>
      <c r="E94" s="108"/>
      <c r="F94" s="107" t="e">
        <f>F91*D94</f>
        <v>#DIV/0!</v>
      </c>
    </row>
    <row r="95" spans="2:8" x14ac:dyDescent="0.35">
      <c r="B95" s="18" t="s">
        <v>218</v>
      </c>
      <c r="C95" s="102">
        <f>ABS(MAX(C33,0)-C32)</f>
        <v>0</v>
      </c>
      <c r="D95" s="106" t="e">
        <f>C95/C91</f>
        <v>#DIV/0!</v>
      </c>
      <c r="E95" s="107" t="e">
        <f>E91*D95</f>
        <v>#DIV/0!</v>
      </c>
      <c r="F95" s="107" t="e">
        <f>F91*D95</f>
        <v>#DIV/0!</v>
      </c>
    </row>
    <row r="96" spans="2:8" x14ac:dyDescent="0.35">
      <c r="B96" s="18" t="s">
        <v>102</v>
      </c>
      <c r="C96" s="102">
        <f>MAX(C31,0)</f>
        <v>0</v>
      </c>
      <c r="D96" s="106" t="e">
        <f>C96/C91</f>
        <v>#DIV/0!</v>
      </c>
      <c r="E96" s="108"/>
      <c r="F96" s="107" t="e">
        <f>F91*D96</f>
        <v>#DIV/0!</v>
      </c>
    </row>
    <row r="97" spans="2:6" x14ac:dyDescent="0.35">
      <c r="B97" s="98" t="s">
        <v>153</v>
      </c>
      <c r="C97" s="102">
        <f>MAX(C30,0)/(1-C16)</f>
        <v>0</v>
      </c>
      <c r="D97" s="106" t="e">
        <f>C97/C91</f>
        <v>#DIV/0!</v>
      </c>
      <c r="E97" s="108"/>
      <c r="F97" s="107" t="e">
        <f>F91*D97</f>
        <v>#DIV/0!</v>
      </c>
    </row>
    <row r="98" spans="2:6" x14ac:dyDescent="0.35">
      <c r="B98" s="8" t="s">
        <v>183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Template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4" t="str">
        <f>Inputs!C4</f>
        <v>0590.HK</v>
      </c>
      <c r="D3" s="315"/>
      <c r="E3" s="3"/>
      <c r="F3" s="9" t="s">
        <v>1</v>
      </c>
      <c r="G3" s="10">
        <v>7.86</v>
      </c>
      <c r="H3" s="11" t="s">
        <v>260</v>
      </c>
    </row>
    <row r="4" spans="1:10" ht="15.75" customHeight="1" x14ac:dyDescent="0.35">
      <c r="B4" s="12" t="s">
        <v>171</v>
      </c>
      <c r="C4" s="316" t="str">
        <f>Inputs!C5</f>
        <v>Template</v>
      </c>
      <c r="D4" s="317"/>
      <c r="E4" s="3"/>
      <c r="F4" s="9" t="s">
        <v>3</v>
      </c>
      <c r="G4" s="320">
        <f>Inputs!C10</f>
        <v>587107850</v>
      </c>
      <c r="H4" s="320"/>
      <c r="I4" s="14"/>
    </row>
    <row r="5" spans="1:10" ht="15.75" customHeight="1" x14ac:dyDescent="0.35">
      <c r="B5" s="9" t="s">
        <v>148</v>
      </c>
      <c r="C5" s="318">
        <f>Inputs!C6</f>
        <v>45624</v>
      </c>
      <c r="D5" s="319"/>
      <c r="E5" s="16"/>
      <c r="F5" s="12" t="s">
        <v>92</v>
      </c>
      <c r="G5" s="312">
        <f>G3*G4/1000000</f>
        <v>4614.6677010000003</v>
      </c>
      <c r="H5" s="312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3" t="str">
        <f>Inputs!C11</f>
        <v>HKD</v>
      </c>
      <c r="H6" s="313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#VALUE!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 t="e">
        <f>Data!C13</f>
        <v>#VALUE!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#VALUE!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 t="e">
        <f>Fin_Analysis!I81</f>
        <v>#DIV/0!</v>
      </c>
      <c r="F24" s="39" t="s">
        <v>227</v>
      </c>
      <c r="G24" s="43" t="e">
        <f>G3/(Fin_Analysis!H86*G7)</f>
        <v>#DIV/0!</v>
      </c>
    </row>
    <row r="25" spans="1:8" ht="15.75" customHeight="1" x14ac:dyDescent="0.35">
      <c r="B25" s="28" t="s">
        <v>243</v>
      </c>
      <c r="C25" s="44" t="e">
        <f>Fin_Analysis!I80</f>
        <v>#DIV/0!</v>
      </c>
      <c r="F25" s="39" t="s">
        <v>154</v>
      </c>
      <c r="G25" s="44" t="e">
        <f>Fin_Analysis!I88</f>
        <v>#DIV/0!</v>
      </c>
    </row>
    <row r="26" spans="1:8" ht="15.75" customHeight="1" x14ac:dyDescent="0.35">
      <c r="B26" s="45" t="s">
        <v>244</v>
      </c>
      <c r="C26" s="44" t="e">
        <f>Fin_Analysis!I80+Fin_Analysis!I82</f>
        <v>#DIV/0!</v>
      </c>
      <c r="F26" s="46" t="s">
        <v>169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0" t="s">
        <v>226</v>
      </c>
      <c r="H28" s="310"/>
    </row>
    <row r="29" spans="1:8" ht="15.75" customHeight="1" x14ac:dyDescent="0.35">
      <c r="B29" s="3" t="s">
        <v>152</v>
      </c>
      <c r="C29" s="53" t="e">
        <f>IF(Fin_Analysis!C108="Profit",Fin_Analysis!D100,IF(Fin_Analysis!C108="Dividend",Fin_Analysis!D103,Fin_Analysis!D106))</f>
        <v>#DIV/0!</v>
      </c>
      <c r="D29" s="54" t="e">
        <f>G29*(1+G20)</f>
        <v>#DIV/0!</v>
      </c>
      <c r="E29" s="3"/>
      <c r="F29" s="55" t="e">
        <f>IF(Fin_Analysis!C108="Profit",Fin_Analysis!F100,IF(Fin_Analysis!C108="Dividend",Fin_Analysis!F103,Fin_Analysis!F106))</f>
        <v>#DIV/0!</v>
      </c>
      <c r="G29" s="311" t="e">
        <f>IF(Fin_Analysis!C108="Profit",Fin_Analysis!I100,IF(Fin_Analysis!C108="Dividend",Fin_Analysis!I103,Fin_Analysis!I106))</f>
        <v>#DIV/0!</v>
      </c>
      <c r="H29" s="311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 t="e">
        <f>C14</f>
        <v>#VALUE!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 t="str">
        <f>IF(Inputs!C25=""," ",Inputs!C25)</f>
        <v xml:space="preserve"> </v>
      </c>
      <c r="D6" s="147" t="str">
        <f>IF(Inputs!D25="","",Inputs!D25)</f>
        <v/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 t="str">
        <f t="shared" ref="C7:M7" si="1">IF(D6="","",C6/D6-1)</f>
        <v/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 t="str">
        <f>IF(Inputs!C26="","",Inputs!C26)</f>
        <v/>
      </c>
      <c r="D8" s="149" t="str">
        <f>IF(Inputs!D26="","",Inputs!D26)</f>
        <v/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 t="e">
        <f t="shared" ref="C9:M9" si="2">IF(C6="","",(C6-C8))</f>
        <v>#VALUE!</v>
      </c>
      <c r="D9" s="279" t="str">
        <f t="shared" si="2"/>
        <v/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 t="str">
        <f>IF(Inputs!C27="","",Inputs!C27)</f>
        <v/>
      </c>
      <c r="D10" s="149" t="str">
        <f>IF(Inputs!D27="","",Inputs!D27)</f>
        <v/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 t="e">
        <f t="shared" ref="C13:M13" si="3">IF(C14="","",C14/C6)</f>
        <v>#VALUE!</v>
      </c>
      <c r="D13" s="300" t="str">
        <f t="shared" si="3"/>
        <v/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 t="e">
        <f>IF(C6="","",C9-C10-MAX(C11,0)-MAX(C12,0))</f>
        <v>#VALUE!</v>
      </c>
      <c r="D14" s="302" t="str">
        <f t="shared" ref="D14:M14" si="4">IF(D6="","",D9-D10-MAX(D11,0)-MAX(D12,0))</f>
        <v/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/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 t="e">
        <f t="shared" ref="C20:M20" si="7">IF(C6="","",MAX(C21,0)/C6)</f>
        <v>#VALUE!</v>
      </c>
      <c r="D20" s="233" t="str">
        <f t="shared" si="7"/>
        <v/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 t="e">
        <f>IF(C6="","",C14-MAX(C16,0)-MAX(C17,0)-ABS(MAX(C21,0)-MAX(C19,0)))</f>
        <v>#VALUE!</v>
      </c>
      <c r="D22" s="283" t="str">
        <f t="shared" ref="D22:M22" si="8">IF(D6="","",D14-MAX(D16,0)-MAX(D17,0)-ABS(MAX(D21,0)-MAX(D19,0)))</f>
        <v/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 t="e">
        <f t="shared" ref="C23:M23" si="9">IF(C6="","",C24/C6)</f>
        <v>#VALUE!</v>
      </c>
      <c r="D23" s="148" t="str">
        <f t="shared" si="9"/>
        <v/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 t="e">
        <f>IF(C6="","",C22*(1-Fin_Analysis!$I$84))</f>
        <v>#VALUE!</v>
      </c>
      <c r="D24" s="282" t="str">
        <f>IF(D6="","",D22*(1-Fin_Analysis!$I$84))</f>
        <v/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/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#VALUE!</v>
      </c>
      <c r="D38" s="154" t="str">
        <f>IF(D6="","",D14/MAX(D37,0))</f>
        <v/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 t="e">
        <f t="shared" ref="C40:M40" si="34">IF(C6="","",C8/C6)</f>
        <v>#VALUE!</v>
      </c>
      <c r="D40" s="156" t="str">
        <f t="shared" si="34"/>
        <v/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 t="e">
        <f t="shared" ref="C41:M41" si="35">IF(C6="","",(C10+MAX(C11,0))/C6)</f>
        <v>#VALUE!</v>
      </c>
      <c r="D41" s="151" t="str">
        <f t="shared" si="35"/>
        <v/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 t="e">
        <f t="shared" ref="C42:M42" si="36">IF(C6="","",MAX(C16,0)/C6)</f>
        <v>#VALUE!</v>
      </c>
      <c r="D42" s="151" t="str">
        <f t="shared" si="36"/>
        <v/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 t="e">
        <f t="shared" ref="C43:M43" si="37">IF(C6="","",MAX(C17,0)/C6)</f>
        <v>#VALUE!</v>
      </c>
      <c r="D43" s="151" t="str">
        <f t="shared" si="37"/>
        <v/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 t="e">
        <f t="shared" ref="C44:M44" si="38">IF(C6="","",MAX(C12,0)/C6)</f>
        <v>#VALUE!</v>
      </c>
      <c r="D44" s="151" t="str">
        <f t="shared" si="38"/>
        <v/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 t="e">
        <f t="shared" ref="C45:M45" si="39">IF(C6="","",ABS(MAX(C21,0)-MAX(C19,0))/C6)</f>
        <v>#VALUE!</v>
      </c>
      <c r="D45" s="151" t="str">
        <f t="shared" si="39"/>
        <v/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 t="e">
        <f t="shared" ref="C46:M46" si="40">IF(C6="","",C22/C6)</f>
        <v>#VALUE!</v>
      </c>
      <c r="D46" s="289" t="str">
        <f t="shared" si="40"/>
        <v/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#VALUE!</v>
      </c>
      <c r="D48" s="159" t="str">
        <f t="shared" si="41"/>
        <v/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 t="e">
        <f t="shared" ref="C49:M49" si="42">IF(C28="","",C28/C6)</f>
        <v>#VALUE!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 t="e">
        <f t="shared" ref="C50:M50" si="43">IF(C29="","",C29/C6)</f>
        <v>#VALUE!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str">
        <f t="shared" ref="C51:M51" si="44">IF(D6="","",C16/(C6-D6))</f>
        <v/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e">
        <f t="shared" ref="C54:M54" si="46">IF(OR(C22="",C33=""),"",IF(C33&lt;=0,"-",C22/C33))</f>
        <v>#VALUE!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e">
        <f t="shared" ref="C55:M55" si="47">IF(C22="","",IF(MAX(C17,0)&lt;=0,"-",C17/C22))</f>
        <v>#VALUE!</v>
      </c>
      <c r="D55" s="151" t="str">
        <f t="shared" si="47"/>
        <v/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#VALUE!</v>
      </c>
      <c r="D58" s="162" t="str">
        <f t="shared" si="49"/>
        <v/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#VALUE!</v>
      </c>
      <c r="D59" s="162" t="str">
        <f t="shared" si="50"/>
        <v/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1">
        <f>I15+I34</f>
        <v>0</v>
      </c>
      <c r="E56" s="319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0">
        <f>Inputs!C84</f>
        <v>0</v>
      </c>
      <c r="E57" s="319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0">
        <f>Inputs!C85</f>
        <v>0</v>
      </c>
      <c r="E58" s="319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284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8">
        <f>Data!C5</f>
        <v>45291</v>
      </c>
      <c r="D72" s="308"/>
      <c r="E72" s="322" t="s">
        <v>182</v>
      </c>
      <c r="F72" s="322"/>
      <c r="H72" s="322" t="s">
        <v>181</v>
      </c>
      <c r="I72" s="322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09" t="s">
        <v>93</v>
      </c>
      <c r="D73" s="309"/>
      <c r="E73" s="323" t="s">
        <v>94</v>
      </c>
      <c r="F73" s="309"/>
      <c r="H73" s="323" t="s">
        <v>94</v>
      </c>
      <c r="I73" s="309"/>
      <c r="K73" s="75"/>
    </row>
    <row r="74" spans="1:11" ht="15" customHeight="1" x14ac:dyDescent="0.35">
      <c r="B74" s="9" t="s">
        <v>117</v>
      </c>
      <c r="C74" s="102" t="str">
        <f>Data!C6</f>
        <v xml:space="preserve"> </v>
      </c>
      <c r="D74" s="103"/>
      <c r="E74" s="262">
        <f>Inputs!E91</f>
        <v>0</v>
      </c>
      <c r="F74" s="103"/>
      <c r="H74" s="262">
        <f>Inputs!F91</f>
        <v>0</v>
      </c>
      <c r="I74" s="103"/>
      <c r="K74" s="75"/>
    </row>
    <row r="75" spans="1:11" ht="15" customHeight="1" x14ac:dyDescent="0.35">
      <c r="B75" s="105" t="s">
        <v>98</v>
      </c>
      <c r="C75" s="102" t="str">
        <f>Data!C8</f>
        <v/>
      </c>
      <c r="D75" s="106" t="e">
        <f>C75/$C$74</f>
        <v>#VALUE!</v>
      </c>
      <c r="E75" s="262" t="e">
        <f>Inputs!E92</f>
        <v>#DIV/0!</v>
      </c>
      <c r="F75" s="217" t="e">
        <f>E75/E74</f>
        <v>#DIV/0!</v>
      </c>
      <c r="H75" s="262" t="e">
        <f>Inputs!F92</f>
        <v>#DIV/0!</v>
      </c>
      <c r="I75" s="217" t="e">
        <f>H75/$H$74</f>
        <v>#DIV/0!</v>
      </c>
      <c r="K75" s="75"/>
    </row>
    <row r="76" spans="1:11" ht="15" customHeight="1" x14ac:dyDescent="0.35">
      <c r="B76" s="12" t="s">
        <v>88</v>
      </c>
      <c r="C76" s="150" t="e">
        <f>C74-C75</f>
        <v>#VALUE!</v>
      </c>
      <c r="D76" s="218"/>
      <c r="E76" s="219" t="e">
        <f>E74-E75</f>
        <v>#DIV/0!</v>
      </c>
      <c r="F76" s="218"/>
      <c r="H76" s="219" t="e">
        <f>H74-H75</f>
        <v>#DIV/0!</v>
      </c>
      <c r="I76" s="218"/>
      <c r="K76" s="75"/>
    </row>
    <row r="77" spans="1:11" ht="15" customHeight="1" x14ac:dyDescent="0.35">
      <c r="B77" s="105" t="s">
        <v>219</v>
      </c>
      <c r="C77" s="102" t="e">
        <f>Data!C10+MAX(Data!C11,0)</f>
        <v>#VALUE!</v>
      </c>
      <c r="D77" s="106" t="e">
        <f>C77/$C$74</f>
        <v>#VALUE!</v>
      </c>
      <c r="E77" s="262" t="e">
        <f>Inputs!E93</f>
        <v>#DIV/0!</v>
      </c>
      <c r="F77" s="217" t="e">
        <f>E77/E74</f>
        <v>#DIV/0!</v>
      </c>
      <c r="H77" s="262" t="e">
        <f>Inputs!F93</f>
        <v>#DIV/0!</v>
      </c>
      <c r="I77" s="217" t="e">
        <f>H77/$H$74</f>
        <v>#DIV/0!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 t="e">
        <f>C78/$C$74</f>
        <v>#VALUE!</v>
      </c>
      <c r="E78" s="220" t="e">
        <f>E74*F78</f>
        <v>#DIV/0!</v>
      </c>
      <c r="F78" s="217" t="e">
        <f>I78</f>
        <v>#DIV/0!</v>
      </c>
      <c r="H78" s="262" t="e">
        <f>Inputs!F97</f>
        <v>#DIV/0!</v>
      </c>
      <c r="I78" s="217" t="e">
        <f>H78/$H$74</f>
        <v>#DIV/0!</v>
      </c>
      <c r="K78" s="75"/>
    </row>
    <row r="79" spans="1:11" ht="15" customHeight="1" x14ac:dyDescent="0.35">
      <c r="B79" s="221" t="s">
        <v>206</v>
      </c>
      <c r="C79" s="222" t="e">
        <f>C76-C77-C78</f>
        <v>#VALUE!</v>
      </c>
      <c r="D79" s="223" t="e">
        <f>C79/C74</f>
        <v>#VALUE!</v>
      </c>
      <c r="E79" s="224" t="e">
        <f>E76-E77-E78</f>
        <v>#DIV/0!</v>
      </c>
      <c r="F79" s="223" t="e">
        <f>E79/E74</f>
        <v>#DIV/0!</v>
      </c>
      <c r="G79" s="225"/>
      <c r="H79" s="224" t="e">
        <f>H76-H77-H78</f>
        <v>#DIV/0!</v>
      </c>
      <c r="I79" s="223" t="e">
        <f>H79/H74</f>
        <v>#DIV/0!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 t="e">
        <f>C80/$C$74</f>
        <v>#VALUE!</v>
      </c>
      <c r="E80" s="220" t="e">
        <f>E74*F80</f>
        <v>#DIV/0!</v>
      </c>
      <c r="F80" s="217" t="e">
        <f>I80</f>
        <v>#DIV/0!</v>
      </c>
      <c r="H80" s="262" t="e">
        <f>Inputs!F96</f>
        <v>#DIV/0!</v>
      </c>
      <c r="I80" s="217" t="e">
        <f>H80/$H$74</f>
        <v>#DIV/0!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 t="e">
        <f>C81/$C$74</f>
        <v>#VALUE!</v>
      </c>
      <c r="E81" s="220" t="e">
        <f>E74*F81</f>
        <v>#DIV/0!</v>
      </c>
      <c r="F81" s="217" t="e">
        <f>I81</f>
        <v>#DIV/0!</v>
      </c>
      <c r="H81" s="262" t="e">
        <f>Inputs!F94</f>
        <v>#DIV/0!</v>
      </c>
      <c r="I81" s="217" t="e">
        <f>H81/$H$74</f>
        <v>#DIV/0!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 t="e">
        <f>C82/$C$74</f>
        <v>#VALUE!</v>
      </c>
      <c r="E82" s="262" t="e">
        <f>Inputs!E95</f>
        <v>#DIV/0!</v>
      </c>
      <c r="F82" s="217" t="e">
        <f>E82/E74</f>
        <v>#DIV/0!</v>
      </c>
      <c r="H82" s="262" t="e">
        <f>Inputs!F95</f>
        <v>#DIV/0!</v>
      </c>
      <c r="I82" s="217" t="e">
        <f>H82/$H$74</f>
        <v>#DIV/0!</v>
      </c>
      <c r="K82" s="75"/>
    </row>
    <row r="83" spans="1:11" ht="15" customHeight="1" thickBot="1" x14ac:dyDescent="0.4">
      <c r="B83" s="227" t="s">
        <v>116</v>
      </c>
      <c r="C83" s="228" t="e">
        <f>C79-C81-C82-C80</f>
        <v>#VALUE!</v>
      </c>
      <c r="D83" s="229" t="e">
        <f>C83/$C$74</f>
        <v>#VALUE!</v>
      </c>
      <c r="E83" s="230" t="e">
        <f>E79-E81-E82-E80</f>
        <v>#DIV/0!</v>
      </c>
      <c r="F83" s="229" t="e">
        <f>E83/E74</f>
        <v>#DIV/0!</v>
      </c>
      <c r="H83" s="230" t="e">
        <f>H79-H81-H82-H80</f>
        <v>#DIV/0!</v>
      </c>
      <c r="I83" s="229" t="e">
        <f>H83/$H$74</f>
        <v>#DIV/0!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 t="e">
        <f>C83*(1-I84)</f>
        <v>#VALUE!</v>
      </c>
      <c r="D85" s="223" t="e">
        <f>C85/$C$74</f>
        <v>#VALUE!</v>
      </c>
      <c r="E85" s="235" t="e">
        <f>E83*(1-F84)</f>
        <v>#DIV/0!</v>
      </c>
      <c r="F85" s="223" t="e">
        <f>E85/E74</f>
        <v>#DIV/0!</v>
      </c>
      <c r="G85" s="225"/>
      <c r="H85" s="235" t="e">
        <f>H83*(1-I84)</f>
        <v>#DIV/0!</v>
      </c>
      <c r="I85" s="223" t="e">
        <f>H85/$H$74</f>
        <v>#DIV/0!</v>
      </c>
      <c r="K85" s="75"/>
    </row>
    <row r="86" spans="1:11" ht="15" customHeight="1" x14ac:dyDescent="0.35">
      <c r="B86" s="3" t="s">
        <v>146</v>
      </c>
      <c r="C86" s="236" t="e">
        <f>C85*Data!C4/Common_Shares</f>
        <v>#VALUE!</v>
      </c>
      <c r="D86" s="103"/>
      <c r="E86" s="237" t="e">
        <f>E85*Data!C4/Common_Shares</f>
        <v>#DIV/0!</v>
      </c>
      <c r="F86" s="103"/>
      <c r="H86" s="237" t="e">
        <f>H85*Data!C4/Common_Shares</f>
        <v>#DIV/0!</v>
      </c>
      <c r="I86" s="103"/>
      <c r="K86" s="75"/>
    </row>
    <row r="87" spans="1:11" ht="15" customHeight="1" x14ac:dyDescent="0.35">
      <c r="B87" s="3" t="s">
        <v>184</v>
      </c>
      <c r="C87" s="238" t="e">
        <f>C86*Exchange_Rate/Dashboard!G3</f>
        <v>#VALUE!</v>
      </c>
      <c r="D87" s="103"/>
      <c r="E87" s="239" t="e">
        <f>E86*Exchange_Rate/Dashboard!G3</f>
        <v>#DIV/0!</v>
      </c>
      <c r="F87" s="103"/>
      <c r="H87" s="239" t="e">
        <f>H86*Exchange_Rate/Dashboard!G3</f>
        <v>#DIV/0!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</v>
      </c>
      <c r="D88" s="241" t="e">
        <f>C88/C86</f>
        <v>#VALUE!</v>
      </c>
      <c r="E88" s="261">
        <f>Inputs!E98</f>
        <v>0</v>
      </c>
      <c r="F88" s="241" t="e">
        <f>E88/E86</f>
        <v>#DIV/0!</v>
      </c>
      <c r="H88" s="261">
        <f>Inputs!F98</f>
        <v>0</v>
      </c>
      <c r="I88" s="241" t="e">
        <f>H88/H86</f>
        <v>#DIV/0!</v>
      </c>
      <c r="K88" s="75"/>
    </row>
    <row r="89" spans="1:11" ht="15" customHeight="1" x14ac:dyDescent="0.35">
      <c r="B89" s="3" t="s">
        <v>196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2" t="s">
        <v>182</v>
      </c>
      <c r="F92" s="322"/>
      <c r="G92" s="3"/>
      <c r="H92" s="322" t="s">
        <v>181</v>
      </c>
      <c r="I92" s="322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 t="e">
        <f>FV(E87,D93,0,-(E86/(C93-D94)))*Exchange_Rate</f>
        <v>#DIV/0!</v>
      </c>
      <c r="H93" s="3" t="s">
        <v>185</v>
      </c>
      <c r="I93" s="243" t="e">
        <f>FV(H87,D93,0,-(H86/(C93-D94)))*Exchange_Rate</f>
        <v>#DIV/0!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 t="e">
        <f>H97*Common_Shares/Data!C4</f>
        <v>#DIV/0!</v>
      </c>
      <c r="D97" s="250"/>
      <c r="E97" s="251" t="e">
        <f>PV(C94,D93,0,-F93)</f>
        <v>#DIV/0!</v>
      </c>
      <c r="F97" s="250"/>
      <c r="H97" s="251" t="e">
        <f>PV(C94,D93,0,-I93)</f>
        <v>#DIV/0!</v>
      </c>
      <c r="I97" s="251" t="e">
        <f>PV(C93,D93,0,-I93)</f>
        <v>#DIV/0!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 t="e">
        <f>MIN(F100*(1-C94),E100)</f>
        <v>#DIV/0!</v>
      </c>
      <c r="E100" s="257" t="e">
        <f>MAX(E97+H98+E99,0)</f>
        <v>#DIV/0!</v>
      </c>
      <c r="F100" s="257" t="e">
        <f>(E100+H100)/2</f>
        <v>#DIV/0!</v>
      </c>
      <c r="H100" s="257" t="e">
        <f>MAX(H97+H98+H99,0)</f>
        <v>#DIV/0!</v>
      </c>
      <c r="I100" s="257" t="e">
        <f>MAX(I97+H98+H99,0)</f>
        <v>#DIV/0!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 t="e">
        <f>(D100+D103)/2</f>
        <v>#DIV/0!</v>
      </c>
      <c r="E106" s="251" t="e">
        <f>(E100+E103)/2</f>
        <v>#DIV/0!</v>
      </c>
      <c r="F106" s="257" t="e">
        <f>(F100+F103)/2</f>
        <v>#DIV/0!</v>
      </c>
      <c r="H106" s="251" t="e">
        <f>(H100+H103)/2</f>
        <v>#DIV/0!</v>
      </c>
      <c r="I106" s="251" t="e">
        <f>(I100+I103)/2</f>
        <v>#DIV/0!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