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5DE9093D-FAA2-4327-8C66-2E671BBC130A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D94" i="3" l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E91" i="4" s="1"/>
  <c r="F98" i="4" l="1"/>
  <c r="F91" i="4"/>
  <c r="I12" i="2"/>
  <c r="J12" i="2"/>
  <c r="K12" i="2"/>
  <c r="L12" i="2"/>
  <c r="M12" i="2"/>
  <c r="E98" i="4" l="1"/>
  <c r="E88" i="3" s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D50" i="4" l="1"/>
  <c r="D56" i="4" s="1"/>
  <c r="D59" i="4"/>
  <c r="D69" i="4"/>
  <c r="D68" i="4"/>
  <c r="D67" i="4"/>
  <c r="D55" i="4"/>
  <c r="D62" i="4"/>
  <c r="D63" i="4" s="1"/>
  <c r="D61" i="4"/>
  <c r="D60" i="4"/>
  <c r="D58" i="4"/>
  <c r="D71" i="4" s="1"/>
  <c r="D53" i="4" l="1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E93" i="4" l="1"/>
  <c r="F93" i="4"/>
  <c r="H77" i="3" s="1"/>
  <c r="F92" i="4"/>
  <c r="H75" i="3" s="1"/>
  <c r="E74" i="3"/>
  <c r="F97" i="4"/>
  <c r="H78" i="3" s="1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92" i="4"/>
  <c r="E75" i="3" s="1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F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F94" i="4" s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95" i="4" l="1"/>
  <c r="E82" i="3" s="1"/>
  <c r="E83" i="3" s="1"/>
  <c r="F95" i="4"/>
  <c r="H82" i="3" s="1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<sst xmlns="http://schemas.openxmlformats.org/spreadsheetml/2006/main" count="390" uniqueCount="267">
  <si>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</si>
  <si>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</si>
  <si>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</si>
  <si>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</si>
  <si>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</si>
  <si>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</si>
  <si>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</si>
  <si>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</si>
  <si>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</si>
  <si>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</si>
  <si>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</si>
  <si>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</si>
  <si>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</si>
  <si>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</si>
  <si>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</si>
  <si>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</si>
  <si>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</si>
  <si>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</si>
  <si>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</si>
  <si>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</si>
  <si>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</si>
  <si>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</si>
  <si>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</si>
  <si>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</si>
  <si>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</si>
  <si>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</si>
  <si>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</si>
  <si>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</si>
  <si>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</si>
  <si>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</si>
  <si>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</si>
  <si>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</si>
  <si>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</si>
  <si>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</si>
  <si>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</si>
  <si>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</si>
  <si>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</si>
  <si>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</si>
  <si>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</si>
  <si>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</si>
  <si>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</si>
  <si>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</si>
  <si>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</si>
  <si>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</si>
  <si>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</si>
  <si>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</si>
  <si>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</si>
  <si>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</si>
  <si>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</si>
  <si>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</si>
  <si>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</si>
  <si>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</si>
  <si>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</si>
  <si>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</si>
  <si>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</si>
  <si>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</si>
  <si>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</si>
  <si>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</si>
  <si>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</si>
  <si>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</si>
  <si>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</si>
  <si>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</si>
  <si>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</si>
  <si>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</si>
  <si>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</si>
  <si>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</si>
  <si>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</si>
  <si>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</si>
  <si>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</si>
  <si>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</si>
  <si>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</si>
  <si>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</si>
  <si>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</si>
  <si>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</si>
  <si>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</si>
  <si>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</si>
  <si>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</si>
  <si>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</si>
  <si>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</si>
  <si>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</si>
  <si>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</si>
  <si>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</si>
  <si>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</si>
  <si>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</si>
  <si>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</si>
  <si>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</si>
  <si>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</si>
  <si>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</si>
  <si>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</si>
  <si>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</si>
  <si>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</si>
  <si>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</si>
  <si>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</si>
  <si>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</si>
  <si>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</si>
  <si>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</si>
  <si>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</si>
  <si>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</si>
  <si>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</si>
  <si>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</si>
  <si>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</si>
  <si>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</si>
  <si>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</si>
  <si>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</si>
  <si>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</si>
  <si>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</si>
  <si>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</si>
  <si>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</si>
  <si>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</si>
  <si>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</si>
  <si>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</si>
  <si>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</si>
  <si>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</si>
  <si>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</si>
  <si>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</si>
  <si>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</si>
  <si>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</si>
  <si>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</si>
  <si>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</si>
  <si>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</si>
  <si>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</si>
  <si>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</si>
  <si>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</si>
  <si>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</si>
  <si>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</si>
  <si>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</si>
  <si>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</si>
  <si>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</si>
  <si>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</si>
  <si>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</si>
  <si>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</si>
  <si>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</si>
  <si>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</si>
  <si>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</si>
  <si>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</si>
  <si>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</si>
  <si>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</si>
  <si>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</si>
  <si>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</si>
  <si>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</si>
  <si>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</si>
  <si>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</si>
  <si>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</si>
  <si>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</si>
  <si>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</si>
  <si>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</si>
  <si>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</si>
  <si>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</si>
  <si>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</si>
  <si>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</si>
  <si>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</si>
  <si>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</si>
  <si>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</si>
  <si>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</si>
  <si>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</si>
  <si>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</si>
  <si>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</si>
  <si>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</si>
  <si>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</si>
  <si>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</si>
  <si>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</si>
  <si>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</si>
  <si>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</si>
  <si>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</si>
  <si>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</si>
  <si>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</si>
  <si>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</si>
  <si>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</si>
  <si>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</si>
  <si>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</si>
  <si>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</si>
  <si>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</si>
  <si>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</si>
  <si>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</si>
  <si>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</si>
  <si>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</si>
  <si>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</si>
  <si>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</si>
  <si>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</si>
  <si>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</si>
  <si>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</si>
  <si>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</si>
  <si>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</si>
  <si>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</si>
  <si>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</si>
  <si>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</si>
  <si>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</si>
  <si>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</si>
  <si>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</si>
  <si>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</si>
  <si>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</si>
  <si>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</si>
  <si>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</si>
  <si>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</si>
  <si>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</si>
  <si>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</si>
  <si>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</si>
  <si>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</si>
  <si>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</si>
  <si>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</si>
  <si>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</si>
  <si>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</si>
  <si>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</si>
  <si>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</si>
  <si>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</si>
  <si>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</si>
  <si>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</si>
  <si>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</si>
  <si>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</si>
  <si>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</si>
  <si>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</si>
  <si>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</si>
  <si>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</si>
  <si>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</si>
  <si>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</si>
  <si>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</si>
  <si>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</si>
  <si>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</si>
  <si>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</si>
  <si>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</si>
  <si>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</si>
  <si>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</si>
  <si>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</si>
  <si>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</si>
  <si>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</si>
  <si>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</si>
  <si>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</si>
  <si>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</si>
  <si>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</si>
  <si>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</si>
  <si>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</si>
  <si>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</si>
  <si>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</si>
  <si>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</si>
  <si>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</si>
  <si>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</si>
  <si>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</si>
  <si>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</si>
  <si>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</si>
  <si>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</si>
  <si>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</si>
  <si>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</si>
  <si>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</si>
  <si>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</si>
  <si>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</si>
  <si>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</si>
  <si>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</si>
  <si>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</si>
  <si>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</si>
  <si>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</si>
  <si>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</si>
  <si>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</si>
  <si>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</si>
  <si>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</si>
  <si>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</si>
  <si>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</si>
  <si>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</si>
  <si>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</si>
  <si>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</si>
  <si>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</si>
  <si>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</si>
  <si>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</si>
  <si>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1969.HK</t>
    <phoneticPr fontId="20" type="noConversion"/>
  </si>
  <si>
    <t>CHINA CHUNLAI</t>
    <phoneticPr fontId="20" type="noConversion"/>
  </si>
  <si>
    <t>C0016</t>
    <phoneticPr fontId="20" type="noConversion"/>
  </si>
  <si>
    <t>CNY</t>
    <phoneticPr fontId="20" type="noConversion"/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</si>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</sst>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0.40582271112351315</c:v>
                </c:pt>
                <c:pt idx="1">
                  <c:v>0.11982079652220817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0.47435649235427868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zoomScaleNormal="100" workbookViewId="0">
      <selection activeCell="D18" sqref="D1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262</v>
      </c>
    </row>
    <row r="5" spans="1:5" ht="13.9" x14ac:dyDescent="0.4">
      <c r="B5" s="141" t="s">
        <v>195</v>
      </c>
      <c r="C5" s="191" t="s">
        <v>263</v>
      </c>
    </row>
    <row r="6" spans="1:5" ht="13.9" x14ac:dyDescent="0.4">
      <c r="B6" s="141" t="s">
        <v>163</v>
      </c>
      <c r="C6" s="189">
        <v>45637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70</v>
      </c>
      <c r="E8" s="267"/>
    </row>
    <row r="9" spans="1:5" ht="13.9" x14ac:dyDescent="0.4">
      <c r="B9" s="140" t="s">
        <v>216</v>
      </c>
      <c r="C9" s="192" t="s">
        <v>264</v>
      </c>
    </row>
    <row r="10" spans="1:5" ht="13.9" x14ac:dyDescent="0.4">
      <c r="B10" s="140" t="s">
        <v>217</v>
      </c>
      <c r="C10" s="193">
        <v>1200000000</v>
      </c>
    </row>
    <row r="11" spans="1:5" ht="13.9" x14ac:dyDescent="0.4">
      <c r="B11" s="140" t="s">
        <v>218</v>
      </c>
      <c r="C11" s="192" t="s">
        <v>265</v>
      </c>
    </row>
    <row r="12" spans="1:5" ht="13.9" x14ac:dyDescent="0.4">
      <c r="B12" s="218" t="s">
        <v>9</v>
      </c>
      <c r="C12" s="219">
        <v>45169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261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45169</v>
      </c>
      <c r="D24" s="49">
        <f>EOMONTH(EDATE(C24,-12),0)</f>
        <v>44804</v>
      </c>
      <c r="E24" s="49">
        <f t="shared" ref="E24:M24" si="0">EOMONTH(EDATE(D24,-12),0)</f>
        <v>44439</v>
      </c>
      <c r="F24" s="49">
        <f t="shared" si="0"/>
        <v>44074</v>
      </c>
      <c r="G24" s="49">
        <f t="shared" si="0"/>
        <v>43708</v>
      </c>
      <c r="H24" s="49">
        <f t="shared" si="0"/>
        <v>43343</v>
      </c>
      <c r="I24" s="49">
        <f t="shared" si="0"/>
        <v>42978</v>
      </c>
      <c r="J24" s="49">
        <f t="shared" si="0"/>
        <v>42613</v>
      </c>
      <c r="K24" s="49">
        <f t="shared" si="0"/>
        <v>42247</v>
      </c>
      <c r="L24" s="49">
        <f t="shared" si="0"/>
        <v>41882</v>
      </c>
      <c r="M24" s="49">
        <f t="shared" si="0"/>
        <v>41517</v>
      </c>
    </row>
    <row r="25" spans="2:13" ht="13.9" x14ac:dyDescent="0.4">
      <c r="B25" s="94" t="s">
        <v>11</v>
      </c>
      <c r="C25" s="149">
        <v>1497962</v>
      </c>
      <c r="D25" s="149">
        <v>1309197</v>
      </c>
      <c r="E25" s="149">
        <v>1041999</v>
      </c>
      <c r="F25" s="149">
        <v>702493</v>
      </c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607907</v>
      </c>
      <c r="D26" s="150">
        <v>482494</v>
      </c>
      <c r="E26" s="150">
        <v>410560</v>
      </c>
      <c r="F26" s="150">
        <v>332916</v>
      </c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179487</v>
      </c>
      <c r="D27" s="150">
        <v>203486</v>
      </c>
      <c r="E27" s="150">
        <v>191402</v>
      </c>
      <c r="F27" s="150">
        <v>142033</v>
      </c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v>2.5000000000000001E-2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6.0718591611491676E-3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45169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1497962</v>
      </c>
      <c r="D91" s="209"/>
      <c r="E91" s="251">
        <f>C91</f>
        <v>1497962</v>
      </c>
      <c r="F91" s="251">
        <f>C91</f>
        <v>1497962</v>
      </c>
    </row>
    <row r="92" spans="2:8" ht="13.9" x14ac:dyDescent="0.4">
      <c r="B92" s="104" t="s">
        <v>105</v>
      </c>
      <c r="C92" s="77">
        <f>C26</f>
        <v>607907</v>
      </c>
      <c r="D92" s="159">
        <f>C92/C91</f>
        <v>0.40582271112351315</v>
      </c>
      <c r="E92" s="252">
        <f>E91*D92</f>
        <v>607907</v>
      </c>
      <c r="F92" s="252">
        <f>F91*D92</f>
        <v>607907</v>
      </c>
    </row>
    <row r="93" spans="2:8" ht="13.9" x14ac:dyDescent="0.4">
      <c r="B93" s="104" t="s">
        <v>247</v>
      </c>
      <c r="C93" s="77">
        <f>C27+C28</f>
        <v>179487</v>
      </c>
      <c r="D93" s="159">
        <f>C93/C91</f>
        <v>0.11982079652220817</v>
      </c>
      <c r="E93" s="252">
        <f>E91*D93</f>
        <v>179487</v>
      </c>
      <c r="F93" s="252">
        <f>F91*D93</f>
        <v>179487</v>
      </c>
    </row>
    <row r="94" spans="2:8" ht="13.9" x14ac:dyDescent="0.4">
      <c r="B94" s="104" t="s">
        <v>257</v>
      </c>
      <c r="C94" s="77">
        <f>C29</f>
        <v>0</v>
      </c>
      <c r="D94" s="159">
        <f>C94/C91</f>
        <v>0</v>
      </c>
      <c r="E94" s="253"/>
      <c r="F94" s="252">
        <f>F91*D94</f>
        <v>0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207</v>
      </c>
      <c r="C98" s="237">
        <f>C44</f>
        <v>2.5000000000000001E-2</v>
      </c>
      <c r="D98" s="266"/>
      <c r="E98" s="254">
        <f>F98</f>
        <v>2.5000000000000001E-2</v>
      </c>
      <c r="F98" s="254">
        <f>C98</f>
        <v>2.5000000000000001E-2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1969.HK : CHINA CHUNLAI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1969.HK</v>
      </c>
      <c r="D3" s="278"/>
      <c r="E3" s="87"/>
      <c r="F3" s="3" t="s">
        <v>1</v>
      </c>
      <c r="G3" s="132">
        <v>4.41</v>
      </c>
      <c r="H3" s="134" t="s">
        <v>266</v>
      </c>
    </row>
    <row r="4" spans="1:10" ht="15.75" customHeight="1" x14ac:dyDescent="0.4">
      <c r="B4" s="35" t="s">
        <v>195</v>
      </c>
      <c r="C4" s="279" t="str">
        <f>Inputs!C5</f>
        <v>CHINA CHUNLAI</v>
      </c>
      <c r="D4" s="280"/>
      <c r="E4" s="87"/>
      <c r="F4" s="3" t="s">
        <v>2</v>
      </c>
      <c r="G4" s="283">
        <f>Inputs!C10</f>
        <v>1200000000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45637</v>
      </c>
      <c r="D5" s="282"/>
      <c r="E5" s="34"/>
      <c r="F5" s="35" t="s">
        <v>99</v>
      </c>
      <c r="G5" s="275">
        <f>G3*G4/1000000</f>
        <v>5292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45169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N</v>
      </c>
      <c r="D7" s="187" t="str">
        <f>Inputs!C9</f>
        <v>C0016</v>
      </c>
      <c r="E7" s="87"/>
      <c r="F7" s="35" t="s">
        <v>5</v>
      </c>
      <c r="G7" s="133">
        <v>1.0710759560267131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0.08</v>
      </c>
      <c r="D12" s="172">
        <v>8.5999999999999993E-2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9.1999999999999998E-2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0.40582271112351315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0.11982079652220817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0</v>
      </c>
      <c r="F24" s="140" t="s">
        <v>260</v>
      </c>
      <c r="G24" s="268">
        <f>G3/(Fin_Analysis!H86*G7)</f>
        <v>9.2711296951987947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5.6292993773994889E-2</v>
      </c>
    </row>
    <row r="26" spans="1:8" ht="15.75" customHeight="1" x14ac:dyDescent="0.4">
      <c r="B26" s="138" t="s">
        <v>173</v>
      </c>
      <c r="C26" s="171">
        <f>Fin_Analysis!I83</f>
        <v>0.47435649235427868</v>
      </c>
      <c r="F26" s="141" t="s">
        <v>193</v>
      </c>
      <c r="G26" s="178">
        <f>Fin_Analysis!H88*Exchange_Rate/G3</f>
        <v>6.0718591611491676E-3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4.6594101736509757</v>
      </c>
      <c r="D29" s="129">
        <f>G29*(1+G20)</f>
        <v>8.1655580042371501</v>
      </c>
      <c r="E29" s="87"/>
      <c r="F29" s="131">
        <f>IF(Fin_Analysis!C108="Profit",Fin_Analysis!F100,IF(Fin_Analysis!C108="Dividend",Fin_Analysis!F103,Fin_Analysis!F106))</f>
        <v>5.4816590278246773</v>
      </c>
      <c r="G29" s="274">
        <f>IF(Fin_Analysis!C108="Profit",Fin_Analysis!I100,IF(Fin_Analysis!C108="Dividend",Fin_Analysis!I103,Fin_Analysis!I106))</f>
        <v>7.1004852210757834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45169</v>
      </c>
      <c r="E3" s="146" t="s">
        <v>200</v>
      </c>
      <c r="F3" s="85" t="str">
        <f>H14</f>
        <v/>
      </c>
      <c r="G3" s="85">
        <f>C14</f>
        <v>710568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45169</v>
      </c>
      <c r="D5" s="49">
        <f>EOMONTH(EDATE(C5,-12),0)</f>
        <v>44804</v>
      </c>
      <c r="E5" s="49">
        <f t="shared" ref="E5:M5" si="0">EOMONTH(EDATE(D5,-12),0)</f>
        <v>44439</v>
      </c>
      <c r="F5" s="49">
        <f t="shared" si="0"/>
        <v>44074</v>
      </c>
      <c r="G5" s="49">
        <f t="shared" si="0"/>
        <v>43708</v>
      </c>
      <c r="H5" s="49">
        <f t="shared" si="0"/>
        <v>43343</v>
      </c>
      <c r="I5" s="49">
        <f t="shared" si="0"/>
        <v>42978</v>
      </c>
      <c r="J5" s="49">
        <f t="shared" si="0"/>
        <v>42613</v>
      </c>
      <c r="K5" s="49">
        <f t="shared" si="0"/>
        <v>42247</v>
      </c>
      <c r="L5" s="49">
        <f t="shared" si="0"/>
        <v>41882</v>
      </c>
      <c r="M5" s="49">
        <f t="shared" si="0"/>
        <v>41517</v>
      </c>
    </row>
    <row r="6" spans="1:14" ht="15.75" customHeight="1" x14ac:dyDescent="0.4">
      <c r="A6" s="4"/>
      <c r="B6" s="94" t="s">
        <v>11</v>
      </c>
      <c r="C6" s="200">
        <f>IF(Inputs!C25=""," ",Inputs!C25)</f>
        <v>1497962</v>
      </c>
      <c r="D6" s="200">
        <f>IF(Inputs!D25="","",Inputs!D25)</f>
        <v>1309197</v>
      </c>
      <c r="E6" s="200">
        <f>IF(Inputs!E25="","",Inputs!E25)</f>
        <v>1041999</v>
      </c>
      <c r="F6" s="200">
        <f>IF(Inputs!F25="","",Inputs!F25)</f>
        <v>702493</v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0.1441838012155543</v>
      </c>
      <c r="D7" s="92">
        <f t="shared" si="1"/>
        <v>0.25642826912501837</v>
      </c>
      <c r="E7" s="92">
        <f t="shared" si="1"/>
        <v>0.48328737795252041</v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607907</v>
      </c>
      <c r="D8" s="199">
        <f>IF(Inputs!D26="","",Inputs!D26)</f>
        <v>482494</v>
      </c>
      <c r="E8" s="199">
        <f>IF(Inputs!E26="","",Inputs!E26)</f>
        <v>410560</v>
      </c>
      <c r="F8" s="199">
        <f>IF(Inputs!F26="","",Inputs!F26)</f>
        <v>332916</v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890055</v>
      </c>
      <c r="D9" s="151">
        <f t="shared" si="2"/>
        <v>826703</v>
      </c>
      <c r="E9" s="151">
        <f t="shared" si="2"/>
        <v>631439</v>
      </c>
      <c r="F9" s="151">
        <f t="shared" si="2"/>
        <v>369577</v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179487</v>
      </c>
      <c r="D10" s="199">
        <f>IF(Inputs!D27="","",Inputs!D27)</f>
        <v>203486</v>
      </c>
      <c r="E10" s="199">
        <f>IF(Inputs!E27="","",Inputs!E27)</f>
        <v>191402</v>
      </c>
      <c r="F10" s="199">
        <f>IF(Inputs!F27="","",Inputs!F27)</f>
        <v>142033</v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 t="str">
        <f>IF(Inputs!C30="","",MAX(Inputs!C30,0)/(1-Fin_Analysis!$I$84))</f>
        <v/>
      </c>
      <c r="D12" s="199" t="str">
        <f>IF(Inputs!D30="","",MAX(Inputs!D30,0)/(1-Fin_Analysis!$I$84))</f>
        <v/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0.47435649235427868</v>
      </c>
      <c r="D13" s="229">
        <f t="shared" si="3"/>
        <v>0.47602996340504905</v>
      </c>
      <c r="E13" s="229">
        <f t="shared" si="3"/>
        <v>0.4223007891562276</v>
      </c>
      <c r="F13" s="229">
        <f t="shared" si="3"/>
        <v>0.32390927738781738</v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710568</v>
      </c>
      <c r="D14" s="230">
        <f t="shared" ref="D14:M14" si="4">IF(D6="","",D9-D10-MAX(D11,0)-MAX(D12,0))</f>
        <v>623217</v>
      </c>
      <c r="E14" s="230">
        <f t="shared" si="4"/>
        <v>440037</v>
      </c>
      <c r="F14" s="230">
        <f t="shared" si="4"/>
        <v>227544</v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0.14016145259195434</v>
      </c>
      <c r="D15" s="232">
        <f t="shared" ref="D15:M15" si="5">IF(E14="","",IF(ABS(D14+E14)=ABS(D14)+ABS(E14),IF(D14&lt;0,-1,1)*(D14-E14)/E14,"Turn"))</f>
        <v>0.41628317618745697</v>
      </c>
      <c r="E15" s="232">
        <f t="shared" si="5"/>
        <v>0.93385455120767846</v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 t="str">
        <f>IF(Inputs!C29="","",Inputs!C29)</f>
        <v/>
      </c>
      <c r="D17" s="199" t="str">
        <f>IF(Inputs!D29="","",Inputs!D29)</f>
        <v/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>
        <f t="shared" si="7"/>
        <v>0</v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710568</v>
      </c>
      <c r="D22" s="161">
        <f t="shared" ref="D22:M22" si="8">IF(D6="","",D14-MAX(D16,0)-MAX(D17,0)-ABS(MAX(D21,0)-MAX(D19,0)))</f>
        <v>623217</v>
      </c>
      <c r="E22" s="161">
        <f t="shared" si="8"/>
        <v>440037</v>
      </c>
      <c r="F22" s="161">
        <f t="shared" si="8"/>
        <v>227544</v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0.35576736926570901</v>
      </c>
      <c r="D23" s="153">
        <f t="shared" si="9"/>
        <v>0.35702247255378677</v>
      </c>
      <c r="E23" s="153">
        <f t="shared" si="9"/>
        <v>0.3167255918671707</v>
      </c>
      <c r="F23" s="153">
        <f t="shared" si="9"/>
        <v>0.24293195804086304</v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532926</v>
      </c>
      <c r="D24" s="77">
        <f>IF(D6="","",D22*(1-Fin_Analysis!$I$84))</f>
        <v>467412.75</v>
      </c>
      <c r="E24" s="77">
        <f>IF(E6="","",E22*(1-Fin_Analysis!$I$84))</f>
        <v>330027.75</v>
      </c>
      <c r="F24" s="77">
        <f>IF(F6="","",F22*(1-Fin_Analysis!$I$84))</f>
        <v>170658</v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0.14016145259195434</v>
      </c>
      <c r="D25" s="233">
        <f t="shared" ref="D25:M25" si="10">IF(E24="","",IF(ABS(D24+E24)=ABS(D24)+ABS(E24),IF(D24&lt;0,-1,1)*(D24-E24)/E24,"Turn"))</f>
        <v>0.41628317618745697</v>
      </c>
      <c r="E25" s="233">
        <f t="shared" si="10"/>
        <v>0.93385455120767846</v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44804</v>
      </c>
      <c r="E26" s="49">
        <f t="shared" ref="E26" si="11">EOMONTH(EDATE(D26,-12),0)</f>
        <v>44439</v>
      </c>
      <c r="F26" s="49">
        <f t="shared" ref="F26" si="12">EOMONTH(EDATE(E26,-12),0)</f>
        <v>44074</v>
      </c>
      <c r="G26" s="49">
        <f t="shared" ref="G26" si="13">EOMONTH(EDATE(F26,-12),0)</f>
        <v>43708</v>
      </c>
      <c r="H26" s="49">
        <f t="shared" ref="H26" si="14">EOMONTH(EDATE(G26,-12),0)</f>
        <v>43343</v>
      </c>
      <c r="I26" s="49">
        <f t="shared" ref="I26" si="15">EOMONTH(EDATE(H26,-12),0)</f>
        <v>42978</v>
      </c>
      <c r="J26" s="49">
        <f t="shared" ref="J26" si="16">EOMONTH(EDATE(I26,-12),0)</f>
        <v>42613</v>
      </c>
      <c r="K26" s="49">
        <f t="shared" ref="K26" si="17">EOMONTH(EDATE(J26,-12),0)</f>
        <v>42247</v>
      </c>
      <c r="L26" s="49">
        <f t="shared" ref="L26" si="18">EOMONTH(EDATE(K26,-12),0)</f>
        <v>41882</v>
      </c>
      <c r="M26" s="49">
        <f t="shared" ref="M26" si="19">EOMONTH(EDATE(L26,-12),0)</f>
        <v>41517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0.40582271112351315</v>
      </c>
      <c r="D42" s="156">
        <f t="shared" si="34"/>
        <v>0.36854193830263893</v>
      </c>
      <c r="E42" s="156">
        <f t="shared" si="34"/>
        <v>0.39401189444519619</v>
      </c>
      <c r="F42" s="156">
        <f t="shared" si="34"/>
        <v>0.47390650155944614</v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0.11982079652220817</v>
      </c>
      <c r="D43" s="153">
        <f t="shared" si="35"/>
        <v>0.15542809829231199</v>
      </c>
      <c r="E43" s="153">
        <f t="shared" si="35"/>
        <v>0.18368731639857619</v>
      </c>
      <c r="F43" s="153">
        <f t="shared" si="35"/>
        <v>0.20218422105273648</v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>
        <f t="shared" si="36"/>
        <v>0</v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0</v>
      </c>
      <c r="D45" s="153">
        <f t="shared" si="37"/>
        <v>0</v>
      </c>
      <c r="E45" s="153">
        <f t="shared" si="37"/>
        <v>0</v>
      </c>
      <c r="F45" s="153">
        <f t="shared" si="37"/>
        <v>0</v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0</v>
      </c>
      <c r="D46" s="153">
        <f t="shared" ref="D46:M46" si="38">IF(D6="","",MAX(D12,0)/D6)</f>
        <v>0</v>
      </c>
      <c r="E46" s="153">
        <f t="shared" si="38"/>
        <v>0</v>
      </c>
      <c r="F46" s="153">
        <f t="shared" si="38"/>
        <v>0</v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>
        <f t="shared" si="39"/>
        <v>0</v>
      </c>
      <c r="F47" s="153">
        <f t="shared" si="39"/>
        <v>0</v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0.47435649235427868</v>
      </c>
      <c r="D48" s="153">
        <f t="shared" si="40"/>
        <v>0.47602996340504905</v>
      </c>
      <c r="E48" s="153">
        <f t="shared" si="40"/>
        <v>0.4223007891562276</v>
      </c>
      <c r="F48" s="153">
        <f t="shared" si="40"/>
        <v>0.32390927738781738</v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 t="e">
        <f>IF(C36="","",(C27-C36)/C27)</f>
        <v>#DIV/0!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 t="str">
        <f t="shared" ref="C54:M54" si="44">IF(OR(C22="",C35=""),"",IF(C35&lt;=0,"-",C22/C35))</f>
        <v>-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 t="str">
        <f t="shared" ref="C55:M55" si="45">IF(C22="","",IF(MAX(C17,0)&lt;=0,"-",C17/C22))</f>
        <v>-</v>
      </c>
      <c r="D55" s="153" t="str">
        <f t="shared" si="45"/>
        <v>-</v>
      </c>
      <c r="E55" s="153" t="str">
        <f t="shared" si="45"/>
        <v>-</v>
      </c>
      <c r="F55" s="153" t="str">
        <f t="shared" si="45"/>
        <v>-</v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 t="e">
        <f t="shared" ref="C56:M56" si="46">IF(C28="","",C28/C31)</f>
        <v>#DIV/0!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45169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1497962</v>
      </c>
      <c r="D74" s="209"/>
      <c r="E74" s="238">
        <f>Inputs!E91</f>
        <v>1497962</v>
      </c>
      <c r="F74" s="209"/>
      <c r="H74" s="238">
        <f>Inputs!F91</f>
        <v>1497962</v>
      </c>
      <c r="I74" s="209"/>
      <c r="K74" s="24"/>
    </row>
    <row r="75" spans="1:11" ht="15" customHeight="1" x14ac:dyDescent="0.4">
      <c r="B75" s="104" t="s">
        <v>105</v>
      </c>
      <c r="C75" s="77">
        <f>Data!C8</f>
        <v>607907</v>
      </c>
      <c r="D75" s="159">
        <f>C75/$C$74</f>
        <v>0.40582271112351315</v>
      </c>
      <c r="E75" s="238">
        <f>Inputs!E92</f>
        <v>607907</v>
      </c>
      <c r="F75" s="160">
        <f>E75/E74</f>
        <v>0.40582271112351315</v>
      </c>
      <c r="H75" s="238">
        <f>Inputs!F92</f>
        <v>607907</v>
      </c>
      <c r="I75" s="160">
        <f>H75/$H$74</f>
        <v>0.40582271112351315</v>
      </c>
      <c r="K75" s="24"/>
    </row>
    <row r="76" spans="1:11" ht="15" customHeight="1" x14ac:dyDescent="0.4">
      <c r="B76" s="35" t="s">
        <v>95</v>
      </c>
      <c r="C76" s="161">
        <f>C74-C75</f>
        <v>890055</v>
      </c>
      <c r="D76" s="210"/>
      <c r="E76" s="162">
        <f>E74-E75</f>
        <v>890055</v>
      </c>
      <c r="F76" s="210"/>
      <c r="H76" s="162">
        <f>H74-H75</f>
        <v>890055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179487</v>
      </c>
      <c r="D77" s="159">
        <f>C77/$C$74</f>
        <v>0.11982079652220817</v>
      </c>
      <c r="E77" s="238">
        <f>Inputs!E93</f>
        <v>179487</v>
      </c>
      <c r="F77" s="160">
        <f>E77/E74</f>
        <v>0.11982079652220817</v>
      </c>
      <c r="H77" s="238">
        <f>Inputs!F93</f>
        <v>179487</v>
      </c>
      <c r="I77" s="160">
        <f>H77/$H$74</f>
        <v>0.11982079652220817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232</v>
      </c>
      <c r="C79" s="257">
        <f>C76-C77-C78</f>
        <v>710568</v>
      </c>
      <c r="D79" s="258">
        <f>C79/C74</f>
        <v>0.47435649235427868</v>
      </c>
      <c r="E79" s="259">
        <f>E76-E77-E78</f>
        <v>710568</v>
      </c>
      <c r="F79" s="258">
        <f>E79/E74</f>
        <v>0.47435649235427868</v>
      </c>
      <c r="G79" s="260"/>
      <c r="H79" s="259">
        <f>H76-H77-H78</f>
        <v>710568</v>
      </c>
      <c r="I79" s="258">
        <f>H79/H74</f>
        <v>0.47435649235427868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0</v>
      </c>
      <c r="D81" s="159">
        <f>C81/$C$74</f>
        <v>0</v>
      </c>
      <c r="E81" s="180">
        <f>E74*F81</f>
        <v>0</v>
      </c>
      <c r="F81" s="160">
        <f>I81</f>
        <v>0</v>
      </c>
      <c r="H81" s="238">
        <f>Inputs!F94</f>
        <v>0</v>
      </c>
      <c r="I81" s="160">
        <f>H81/$H$74</f>
        <v>0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710568</v>
      </c>
      <c r="D83" s="164">
        <f>C83/$C$74</f>
        <v>0.47435649235427868</v>
      </c>
      <c r="E83" s="165">
        <f>E79-E81-E82-E80</f>
        <v>710568</v>
      </c>
      <c r="F83" s="164">
        <f>E83/E74</f>
        <v>0.47435649235427868</v>
      </c>
      <c r="H83" s="165">
        <f>H79-H81-H82-H80</f>
        <v>710568</v>
      </c>
      <c r="I83" s="164">
        <f>H83/$H$74</f>
        <v>0.47435649235427868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532926</v>
      </c>
      <c r="D85" s="258">
        <f>C85/$C$74</f>
        <v>0.35576736926570901</v>
      </c>
      <c r="E85" s="264">
        <f>E83*(1-F84)</f>
        <v>532926</v>
      </c>
      <c r="F85" s="258">
        <f>E85/E74</f>
        <v>0.35576736926570901</v>
      </c>
      <c r="G85" s="260"/>
      <c r="H85" s="264">
        <f>H83*(1-I84)</f>
        <v>532926</v>
      </c>
      <c r="I85" s="258">
        <f>H85/$H$74</f>
        <v>0.35576736926570901</v>
      </c>
      <c r="K85" s="24"/>
    </row>
    <row r="86" spans="1:11" ht="15" customHeight="1" x14ac:dyDescent="0.4">
      <c r="B86" s="87" t="s">
        <v>160</v>
      </c>
      <c r="C86" s="167">
        <f>C85*Data!C4/Common_Shares</f>
        <v>0.44410500000000003</v>
      </c>
      <c r="D86" s="209"/>
      <c r="E86" s="168">
        <f>E85*Data!C4/Common_Shares</f>
        <v>0.44410500000000003</v>
      </c>
      <c r="F86" s="209"/>
      <c r="H86" s="168">
        <f>H85*Data!C4/Common_Shares</f>
        <v>0.44410500000000003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0.10786172051048604</v>
      </c>
      <c r="D87" s="209"/>
      <c r="E87" s="262">
        <f>E86*Exchange_Rate/Dashboard!G3</f>
        <v>0.10786172051048604</v>
      </c>
      <c r="F87" s="209"/>
      <c r="H87" s="262">
        <f>H86*Exchange_Rate/Dashboard!G3</f>
        <v>0.10786172051048604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2.5000000000000001E-2</v>
      </c>
      <c r="D88" s="166">
        <f>C88/C86</f>
        <v>5.6292993773994889E-2</v>
      </c>
      <c r="E88" s="170">
        <f>Inputs!E98</f>
        <v>2.5000000000000001E-2</v>
      </c>
      <c r="F88" s="166">
        <f>E88/E86</f>
        <v>5.6292993773994889E-2</v>
      </c>
      <c r="H88" s="170">
        <f>Inputs!F98</f>
        <v>2.5000000000000001E-2</v>
      </c>
      <c r="I88" s="166">
        <f>H88/H86</f>
        <v>5.6292993773994889E-2</v>
      </c>
      <c r="K88" s="24"/>
    </row>
    <row r="89" spans="1:11" ht="15" customHeight="1" x14ac:dyDescent="0.4">
      <c r="B89" s="87" t="s">
        <v>221</v>
      </c>
      <c r="C89" s="261">
        <f>C88*Exchange_Rate/Dashboard!G3</f>
        <v>6.0718591611491676E-3</v>
      </c>
      <c r="D89" s="209"/>
      <c r="E89" s="261">
        <f>E88*Exchange_Rate/Dashboard!G3</f>
        <v>6.0718591611491676E-3</v>
      </c>
      <c r="F89" s="209"/>
      <c r="H89" s="261">
        <f>H88*Exchange_Rate/Dashboard!G3</f>
        <v>6.0718591611491676E-3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9.1999999999999998E-2</v>
      </c>
      <c r="D93" s="239">
        <f>Inputs!C86</f>
        <v>5</v>
      </c>
      <c r="E93" s="87" t="s">
        <v>209</v>
      </c>
      <c r="F93" s="144">
        <f>FV(E87,D93,0,-(E86/(C93-D94)))*Exchange_Rate</f>
        <v>11.025574285039424</v>
      </c>
      <c r="H93" s="87" t="s">
        <v>209</v>
      </c>
      <c r="I93" s="144">
        <f>FV(H87,D93,0,-(H86/(C93-D94)))*Exchange_Rate</f>
        <v>11.025574285039424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0.38332998312073208</v>
      </c>
      <c r="H94" s="87" t="s">
        <v>210</v>
      </c>
      <c r="I94" s="144">
        <f>FV(H89,D93,0,-(H88/(C93-D94)))*Exchange_Rate</f>
        <v>0.38332998312073208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6577990.8333896128</v>
      </c>
      <c r="D97" s="213"/>
      <c r="E97" s="123">
        <f>PV(C94,D93,0,-F93)</f>
        <v>5.4816590278246773</v>
      </c>
      <c r="F97" s="213"/>
      <c r="H97" s="123">
        <f>PV(C94,D93,0,-I93)</f>
        <v>5.4816590278246773</v>
      </c>
      <c r="I97" s="123">
        <f>PV(C93,D93,0,-I93)</f>
        <v>7.1004852210757834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6577990.8333896128</v>
      </c>
      <c r="D100" s="109">
        <f>MIN(F100*(1-C94),E100)</f>
        <v>4.6594101736509757</v>
      </c>
      <c r="E100" s="109">
        <f>MAX(E97-H98+E99,0)</f>
        <v>5.4816590278246773</v>
      </c>
      <c r="F100" s="109">
        <f>(E100+H100)/2</f>
        <v>5.4816590278246773</v>
      </c>
      <c r="H100" s="109">
        <f>MAX(C100*Data!$C$4/Common_Shares,0)</f>
        <v>5.4816590278246773</v>
      </c>
      <c r="I100" s="109">
        <f>MAX(I97-H98+H99,0)</f>
        <v>7.1004852210757834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228699.29945989695</v>
      </c>
      <c r="D103" s="109">
        <f>MIN(F103*(1-C94),E103)</f>
        <v>0.161995337117427</v>
      </c>
      <c r="E103" s="123">
        <f>PV(C94,D93,0,-F94)</f>
        <v>0.19058274954991414</v>
      </c>
      <c r="F103" s="109">
        <f>(E103+H103)/2</f>
        <v>0.19058274954991414</v>
      </c>
      <c r="H103" s="123">
        <f>PV(C94,D93,0,-I94)</f>
        <v>0.19058274954991414</v>
      </c>
      <c r="I103" s="109">
        <f>PV(C93,D93,0,-I94)</f>
        <v>0.24686504390408315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3403345.0664247544</v>
      </c>
      <c r="D106" s="109">
        <f>(D100+D103)/2</f>
        <v>2.4107027553842015</v>
      </c>
      <c r="E106" s="123">
        <f>(E100+E103)/2</f>
        <v>2.8361208886872955</v>
      </c>
      <c r="F106" s="109">
        <f>(F100+F103)/2</f>
        <v>2.8361208886872955</v>
      </c>
      <c r="H106" s="123">
        <f>(H100+H103)/2</f>
        <v>2.8361208886872955</v>
      </c>
      <c r="I106" s="123">
        <f>(I100+I103)/2</f>
        <v>3.673675132489933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2024-12-11T03:12:32Z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