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1B154BF4-832F-954D-A9B4-7F60458C512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31" i="4" l="1"/>
  <c r="C31" i="4"/>
  <c r="D32" i="4"/>
  <c r="C32" i="4"/>
  <c r="D27" i="4"/>
  <c r="C27" i="4"/>
  <c r="C7" i="1" l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E93" i="4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<sst xmlns="http://schemas.openxmlformats.org/spreadsheetml/2006/main" count="390" uniqueCount="267">
  <si>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</si>
  <si>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</si>
  <si>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</si>
  <si>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</si>
  <si>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</si>
  <si>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</si>
  <si>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</si>
  <si>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</si>
  <si>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</si>
  <si>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</si>
  <si>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</si>
  <si>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</si>
  <si>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</si>
  <si>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</si>
  <si>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</si>
  <si>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</si>
  <si>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</si>
  <si>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</si>
  <si>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</si>
  <si>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</si>
  <si>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</si>
  <si>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</si>
  <si>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</si>
  <si>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</si>
  <si>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</si>
  <si>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</si>
  <si>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</si>
  <si>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</si>
  <si>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</si>
  <si>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</si>
  <si>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</si>
  <si>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</si>
  <si>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</si>
  <si>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</si>
  <si>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</si>
  <si>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</si>
  <si>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</si>
  <si>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</si>
  <si>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</si>
  <si>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</si>
  <si>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</si>
  <si>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</si>
  <si>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</si>
  <si>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</si>
  <si>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</si>
  <si>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</si>
  <si>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</si>
  <si>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</si>
  <si>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</si>
  <si>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</si>
  <si>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</si>
  <si>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</si>
  <si>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</si>
  <si>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</si>
  <si>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</si>
  <si>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</si>
  <si>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</si>
  <si>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</si>
  <si>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</si>
  <si>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</si>
  <si>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</si>
  <si>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</si>
  <si>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</si>
  <si>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</si>
  <si>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</si>
  <si>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</si>
  <si>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</si>
  <si>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</si>
  <si>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</si>
  <si>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</si>
  <si>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</si>
  <si>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</si>
  <si>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</si>
  <si>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</si>
  <si>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</si>
  <si>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</si>
  <si>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</si>
  <si>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</si>
  <si>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</si>
  <si>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</si>
  <si>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</si>
  <si>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</si>
  <si>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</si>
  <si>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</si>
  <si>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</si>
  <si>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</si>
  <si>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</si>
  <si>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</si>
  <si>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</si>
  <si>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</si>
  <si>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</si>
  <si>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</si>
  <si>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</si>
  <si>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</si>
  <si>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</si>
  <si>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</si>
  <si>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</si>
  <si>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</si>
  <si>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</si>
  <si>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</si>
  <si>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</si>
  <si>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</si>
  <si>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</si>
  <si>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</si>
  <si>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</si>
  <si>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</si>
  <si>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</si>
  <si>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</si>
  <si>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</si>
  <si>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</si>
  <si>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</si>
  <si>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</si>
  <si>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</si>
  <si>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</si>
  <si>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</si>
  <si>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</si>
  <si>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</si>
  <si>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</si>
  <si>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</si>
  <si>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</si>
  <si>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</si>
  <si>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</si>
  <si>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</si>
  <si>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</si>
  <si>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</si>
  <si>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</si>
  <si>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</si>
  <si>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</si>
  <si>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</si>
  <si>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</si>
  <si>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</si>
  <si>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</si>
  <si>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</si>
  <si>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</si>
  <si>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</si>
  <si>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</si>
  <si>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</si>
  <si>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</si>
  <si>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</si>
  <si>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</si>
  <si>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</si>
  <si>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</si>
  <si>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</si>
  <si>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</si>
  <si>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</si>
  <si>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</si>
  <si>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</si>
  <si>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</si>
  <si>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</si>
  <si>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</si>
  <si>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</si>
  <si>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</si>
  <si>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</si>
  <si>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</si>
  <si>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</si>
  <si>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</si>
  <si>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</si>
  <si>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</si>
  <si>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</si>
  <si>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</si>
  <si>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</si>
  <si>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</si>
  <si>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</si>
  <si>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</si>
  <si>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</si>
  <si>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</si>
  <si>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</si>
  <si>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</si>
  <si>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</si>
  <si>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</si>
  <si>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</si>
  <si>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</si>
  <si>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</si>
  <si>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</si>
  <si>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</si>
  <si>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</si>
  <si>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</si>
  <si>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</si>
  <si>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</si>
  <si>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</si>
  <si>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</si>
  <si>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</si>
  <si>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</si>
  <si>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</si>
  <si>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</si>
  <si>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</si>
  <si>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</si>
  <si>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</si>
  <si>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</si>
  <si>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</si>
  <si>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</si>
  <si>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</si>
  <si>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</si>
  <si>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</si>
  <si>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</si>
  <si>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</si>
  <si>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</si>
  <si>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</si>
  <si>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</si>
  <si>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</si>
  <si>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</si>
  <si>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</si>
  <si>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</si>
  <si>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</si>
  <si>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</si>
  <si>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</si>
  <si>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</si>
  <si>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</si>
  <si>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</si>
  <si>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</si>
  <si>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</si>
  <si>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</si>
  <si>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</si>
  <si>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</si>
  <si>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</si>
  <si>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</si>
  <si>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</si>
  <si>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</si>
  <si>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</si>
  <si>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</si>
  <si>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</si>
  <si>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</si>
  <si>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</si>
  <si>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</si>
  <si>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</si>
  <si>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</si>
  <si>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</si>
  <si>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</si>
  <si>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</si>
  <si>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</si>
  <si>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</si>
  <si>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</si>
  <si>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</si>
  <si>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</si>
  <si>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</si>
  <si>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</si>
  <si>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</si>
  <si>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</si>
  <si>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</si>
  <si>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</si>
  <si>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</si>
  <si>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</si>
  <si>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</si>
  <si>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</si>
  <si>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</si>
  <si>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</si>
  <si>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</si>
  <si>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</si>
  <si>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</si>
  <si>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</si>
  <si>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</si>
  <si>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</si>
  <si>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</si>
  <si>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</si>
  <si>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</si>
  <si>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</si>
  <si>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</si>
  <si>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</si>
  <si>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</si>
  <si>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</si>
  <si>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</si>
  <si>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</si>
  <si>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0220.HK</t>
  </si>
  <si>
    <t>统一中国</t>
  </si>
  <si>
    <t>CNY</t>
  </si>
  <si>
    <t>CN</t>
  </si>
  <si>
    <t>C0002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</si>
</sst>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22" zoomScaleNormal="100" workbookViewId="0">
      <selection activeCell="D45" sqref="D45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9" t="s">
        <v>262</v>
      </c>
    </row>
    <row r="5" spans="1:5" ht="14" x14ac:dyDescent="0.15">
      <c r="B5" s="141" t="s">
        <v>196</v>
      </c>
      <c r="C5" s="192" t="s">
        <v>263</v>
      </c>
    </row>
    <row r="6" spans="1:5" ht="14" x14ac:dyDescent="0.15">
      <c r="B6" s="141" t="s">
        <v>164</v>
      </c>
      <c r="C6" s="190">
        <v>45624</v>
      </c>
    </row>
    <row r="7" spans="1:5" ht="14" x14ac:dyDescent="0.15">
      <c r="B7" s="140" t="s">
        <v>4</v>
      </c>
      <c r="C7" s="191">
        <v>8</v>
      </c>
    </row>
    <row r="8" spans="1:5" ht="14" x14ac:dyDescent="0.15">
      <c r="B8" s="140" t="s">
        <v>216</v>
      </c>
      <c r="C8" s="192" t="s">
        <v>71</v>
      </c>
      <c r="E8" s="268"/>
    </row>
    <row r="9" spans="1:5" ht="14" x14ac:dyDescent="0.15">
      <c r="B9" s="140" t="s">
        <v>217</v>
      </c>
      <c r="C9" s="193" t="s">
        <v>266</v>
      </c>
    </row>
    <row r="10" spans="1:5" ht="14" x14ac:dyDescent="0.15">
      <c r="B10" s="140" t="s">
        <v>218</v>
      </c>
      <c r="C10" s="194">
        <v>4319334000</v>
      </c>
    </row>
    <row r="11" spans="1:5" ht="14" x14ac:dyDescent="0.15">
      <c r="B11" s="140" t="s">
        <v>219</v>
      </c>
      <c r="C11" s="193" t="s">
        <v>264</v>
      </c>
    </row>
    <row r="12" spans="1:5" ht="14" x14ac:dyDescent="0.15">
      <c r="B12" s="219" t="s">
        <v>10</v>
      </c>
      <c r="C12" s="220">
        <v>45291</v>
      </c>
    </row>
    <row r="13" spans="1:5" ht="14" x14ac:dyDescent="0.15">
      <c r="B13" s="219" t="s">
        <v>11</v>
      </c>
      <c r="C13" s="221">
        <v>1000</v>
      </c>
    </row>
    <row r="14" spans="1:5" ht="14" x14ac:dyDescent="0.15">
      <c r="B14" s="219" t="s">
        <v>220</v>
      </c>
      <c r="C14" s="220">
        <v>45473</v>
      </c>
    </row>
    <row r="15" spans="1:5" ht="14" x14ac:dyDescent="0.15">
      <c r="B15" s="219" t="s">
        <v>257</v>
      </c>
      <c r="C15" s="177" t="s">
        <v>265</v>
      </c>
    </row>
    <row r="16" spans="1:5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225</v>
      </c>
      <c r="C17" s="243" t="s">
        <v>246</v>
      </c>
      <c r="D17" s="24"/>
    </row>
    <row r="18" spans="2:13" ht="14" x14ac:dyDescent="0.15">
      <c r="B18" s="241" t="s">
        <v>239</v>
      </c>
      <c r="C18" s="243" t="s">
        <v>246</v>
      </c>
      <c r="D18" s="24"/>
    </row>
    <row r="19" spans="2:13" ht="14" x14ac:dyDescent="0.15">
      <c r="B19" s="241" t="s">
        <v>240</v>
      </c>
      <c r="C19" s="243" t="s">
        <v>246</v>
      </c>
      <c r="D19" s="24"/>
    </row>
    <row r="20" spans="2:13" ht="14" x14ac:dyDescent="0.15">
      <c r="B20" s="242" t="s">
        <v>229</v>
      </c>
      <c r="C20" s="243" t="s">
        <v>246</v>
      </c>
      <c r="D20" s="24"/>
    </row>
    <row r="21" spans="2:13" ht="14" x14ac:dyDescent="0.15">
      <c r="B21" s="225" t="s">
        <v>232</v>
      </c>
      <c r="C21" s="243" t="s">
        <v>246</v>
      </c>
      <c r="D21" s="24"/>
    </row>
    <row r="22" spans="2:13" ht="84" x14ac:dyDescent="0.15">
      <c r="B22" s="227" t="s">
        <v>231</v>
      </c>
      <c r="C22" s="244" t="s">
        <v>260</v>
      </c>
      <c r="D22" s="24"/>
    </row>
    <row r="24" spans="2:13" ht="15" x14ac:dyDescent="0.15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50">
        <v>28591271</v>
      </c>
      <c r="D25" s="150">
        <v>28257432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5" x14ac:dyDescent="0.15">
      <c r="B26" s="97" t="s">
        <v>106</v>
      </c>
      <c r="C26" s="151">
        <v>19879540</v>
      </c>
      <c r="D26" s="151">
        <v>20069515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5" x14ac:dyDescent="0.15">
      <c r="B27" s="97" t="s">
        <v>104</v>
      </c>
      <c r="C27" s="151">
        <f>6277942+1065856</f>
        <v>7343798</v>
      </c>
      <c r="D27" s="151">
        <f>5886596+1041026</f>
        <v>6927622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5" x14ac:dyDescent="0.15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7" t="s">
        <v>258</v>
      </c>
      <c r="C29" s="151">
        <v>59121</v>
      </c>
      <c r="D29" s="151">
        <v>60526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4" x14ac:dyDescent="0.15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5" x14ac:dyDescent="0.15">
      <c r="B31" s="97" t="s">
        <v>110</v>
      </c>
      <c r="C31" s="151">
        <f>2962482-3624143</f>
        <v>-661661</v>
      </c>
      <c r="D31" s="151">
        <f>2869480-2055079</f>
        <v>814401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7" t="s">
        <v>105</v>
      </c>
      <c r="C32" s="151">
        <f>1021274+85158</f>
        <v>1106432</v>
      </c>
      <c r="D32" s="151">
        <f>1023585+92256</f>
        <v>1115841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7" t="s">
        <v>108</v>
      </c>
      <c r="C33" s="151">
        <v>1078800</v>
      </c>
      <c r="D33" s="151">
        <v>545900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208</v>
      </c>
      <c r="C44" s="251">
        <v>0.42449999999999999</v>
      </c>
      <c r="D44" s="251">
        <v>0.33950000000000002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4" x14ac:dyDescent="0.15">
      <c r="B45" s="74" t="s">
        <v>254</v>
      </c>
      <c r="C45" s="153">
        <f>IF(C44="","",C44*Exchange_Rate/Dashboard!$G$3)</f>
        <v>6.6019622093023256E-2</v>
      </c>
      <c r="D45" s="153">
        <f>IF(D44="","",D44*Exchange_Rate/Dashboard!$G$3)</f>
        <v>5.2800145348837216E-2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4" x14ac:dyDescent="0.15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4" x14ac:dyDescent="0.15">
      <c r="B48" s="3" t="s">
        <v>38</v>
      </c>
      <c r="C48" s="59"/>
      <c r="D48" s="60">
        <v>0.9</v>
      </c>
      <c r="E48" s="112"/>
    </row>
    <row r="49" spans="2:5" ht="14" x14ac:dyDescent="0.15">
      <c r="B49" s="1" t="s">
        <v>136</v>
      </c>
      <c r="C49" s="59"/>
      <c r="D49" s="60">
        <v>0.8</v>
      </c>
      <c r="E49" s="112"/>
    </row>
    <row r="50" spans="2:5" ht="14" x14ac:dyDescent="0.15">
      <c r="B50" s="3" t="s">
        <v>117</v>
      </c>
      <c r="C50" s="59"/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159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/>
      <c r="D54" s="60">
        <v>0.1</v>
      </c>
      <c r="E54" s="112"/>
    </row>
    <row r="55" spans="2:5" ht="14" x14ac:dyDescent="0.15">
      <c r="B55" s="3" t="s">
        <v>47</v>
      </c>
      <c r="C55" s="59"/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6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2" t="s">
        <v>71</v>
      </c>
    </row>
    <row r="66" spans="2:5" ht="14" x14ac:dyDescent="0.15">
      <c r="B66" s="3" t="s">
        <v>72</v>
      </c>
      <c r="C66" s="59"/>
      <c r="D66" s="60">
        <v>0.2</v>
      </c>
      <c r="E66" s="222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/>
      <c r="D70" s="60">
        <v>0.05</v>
      </c>
      <c r="E70" s="112"/>
    </row>
    <row r="71" spans="2:5" ht="14" x14ac:dyDescent="0.15">
      <c r="B71" s="3" t="s">
        <v>75</v>
      </c>
      <c r="C71" s="59"/>
      <c r="D71" s="60">
        <f>D58</f>
        <v>0.9</v>
      </c>
      <c r="E71" s="112"/>
    </row>
    <row r="72" spans="2:5" ht="15" thickBot="1" x14ac:dyDescent="0.2">
      <c r="B72" s="247" t="s">
        <v>76</v>
      </c>
      <c r="C72" s="248"/>
      <c r="D72" s="249">
        <v>0</v>
      </c>
      <c r="E72" s="250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221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251</v>
      </c>
      <c r="C86" s="198">
        <v>5</v>
      </c>
    </row>
    <row r="87" spans="2:8" ht="14" x14ac:dyDescent="0.15">
      <c r="B87" s="10" t="s">
        <v>249</v>
      </c>
      <c r="C87" s="237" t="s">
        <v>252</v>
      </c>
    </row>
    <row r="89" spans="2:8" ht="14" x14ac:dyDescent="0.1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4" x14ac:dyDescent="0.15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4" x14ac:dyDescent="0.15">
      <c r="B91" s="3" t="s">
        <v>127</v>
      </c>
      <c r="C91" s="77">
        <f>C25</f>
        <v>28591271</v>
      </c>
      <c r="D91" s="210"/>
      <c r="E91" s="252">
        <f>C91</f>
        <v>28591271</v>
      </c>
      <c r="F91" s="252">
        <f>C91</f>
        <v>28591271</v>
      </c>
    </row>
    <row r="92" spans="2:8" ht="14" x14ac:dyDescent="0.15">
      <c r="B92" s="104" t="s">
        <v>106</v>
      </c>
      <c r="C92" s="77">
        <f>C26</f>
        <v>19879540</v>
      </c>
      <c r="D92" s="160">
        <f>C92/C91</f>
        <v>0.69530102386843873</v>
      </c>
      <c r="E92" s="253">
        <f>E91*D92</f>
        <v>19879540</v>
      </c>
      <c r="F92" s="253">
        <f>F91*D92</f>
        <v>19879540</v>
      </c>
    </row>
    <row r="93" spans="2:8" ht="14" x14ac:dyDescent="0.15">
      <c r="B93" s="104" t="s">
        <v>248</v>
      </c>
      <c r="C93" s="77">
        <f>C27+C28</f>
        <v>7343798</v>
      </c>
      <c r="D93" s="160">
        <f>C93/C91</f>
        <v>0.25685454836897598</v>
      </c>
      <c r="E93" s="253">
        <f>E91*D93</f>
        <v>7343798</v>
      </c>
      <c r="F93" s="253">
        <f>F91*D93</f>
        <v>7343798</v>
      </c>
    </row>
    <row r="94" spans="2:8" ht="14" x14ac:dyDescent="0.15">
      <c r="B94" s="104" t="s">
        <v>258</v>
      </c>
      <c r="C94" s="77">
        <f>C29</f>
        <v>59121</v>
      </c>
      <c r="D94" s="160">
        <f>C94/C91</f>
        <v>2.0677989446499247E-3</v>
      </c>
      <c r="E94" s="254"/>
      <c r="F94" s="253">
        <f>F91*D94</f>
        <v>59121</v>
      </c>
    </row>
    <row r="95" spans="2:8" ht="14" x14ac:dyDescent="0.15">
      <c r="B95" s="28" t="s">
        <v>247</v>
      </c>
      <c r="C95" s="77">
        <f>ABS(MAX(C33,0)-C32)</f>
        <v>27632</v>
      </c>
      <c r="D95" s="160">
        <f>C95/C91</f>
        <v>9.6644881579416319E-4</v>
      </c>
      <c r="E95" s="253">
        <f>E91*D95</f>
        <v>27632</v>
      </c>
      <c r="F95" s="253">
        <f>F91*D95</f>
        <v>27632</v>
      </c>
    </row>
    <row r="96" spans="2:8" ht="14" x14ac:dyDescent="0.15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4" x14ac:dyDescent="0.15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4" x14ac:dyDescent="0.15">
      <c r="B98" s="86" t="s">
        <v>208</v>
      </c>
      <c r="C98" s="238">
        <f>C44</f>
        <v>0.42449999999999999</v>
      </c>
      <c r="D98" s="267"/>
      <c r="E98" s="255">
        <f>F98</f>
        <v>0.42449999999999999</v>
      </c>
      <c r="F98" s="255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1" sqref="C1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6" t="str">
        <f>Inputs!C4</f>
        <v>0220.HK</v>
      </c>
      <c r="D3" s="277"/>
      <c r="E3" s="87"/>
      <c r="F3" s="3" t="s">
        <v>1</v>
      </c>
      <c r="G3" s="132">
        <v>6.88</v>
      </c>
      <c r="H3" s="134" t="s">
        <v>2</v>
      </c>
    </row>
    <row r="4" spans="1:10" ht="15.75" customHeight="1" x14ac:dyDescent="0.15">
      <c r="B4" s="35" t="s">
        <v>196</v>
      </c>
      <c r="C4" s="278" t="str">
        <f>Inputs!C5</f>
        <v>统一中国</v>
      </c>
      <c r="D4" s="279"/>
      <c r="E4" s="87"/>
      <c r="F4" s="3" t="s">
        <v>3</v>
      </c>
      <c r="G4" s="282">
        <f>Inputs!C10</f>
        <v>4319334000</v>
      </c>
      <c r="H4" s="282"/>
      <c r="I4" s="39"/>
    </row>
    <row r="5" spans="1:10" ht="15.75" customHeight="1" x14ac:dyDescent="0.15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29717.017919999998</v>
      </c>
      <c r="H5" s="274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15">
      <c r="B7" s="86" t="s">
        <v>193</v>
      </c>
      <c r="C7" s="188" t="str">
        <f>Inputs!C8</f>
        <v>N</v>
      </c>
      <c r="D7" s="188" t="str">
        <f>Inputs!C9</f>
        <v>C0002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15">
      <c r="B17" s="87" t="s">
        <v>256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2">
        <f>Fin_Analysis!I75</f>
        <v>0.69530102386843873</v>
      </c>
      <c r="F20" s="87" t="s">
        <v>212</v>
      </c>
      <c r="G20" s="173">
        <v>0.15</v>
      </c>
    </row>
    <row r="21" spans="1:8" ht="15.75" customHeight="1" x14ac:dyDescent="0.15">
      <c r="B21" s="137" t="s">
        <v>245</v>
      </c>
      <c r="C21" s="172">
        <f>Fin_Analysis!I77</f>
        <v>0.25685454836897598</v>
      </c>
      <c r="F21" s="87"/>
      <c r="G21" s="29"/>
    </row>
    <row r="22" spans="1:8" ht="15.75" customHeight="1" x14ac:dyDescent="0.15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15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15">
      <c r="B24" s="137" t="s">
        <v>171</v>
      </c>
      <c r="C24" s="172">
        <f>Fin_Analysis!I81</f>
        <v>2.0677989446499247E-3</v>
      </c>
      <c r="F24" s="140" t="s">
        <v>261</v>
      </c>
      <c r="G24" s="269">
        <f>G3/(Fin_Analysis!H86*G7)</f>
        <v>28.903473302138373</v>
      </c>
    </row>
    <row r="25" spans="1:8" ht="15.75" customHeight="1" x14ac:dyDescent="0.15">
      <c r="B25" s="137" t="s">
        <v>244</v>
      </c>
      <c r="C25" s="172">
        <f>Fin_Analysis!I82</f>
        <v>9.6644881579416319E-4</v>
      </c>
      <c r="F25" s="140" t="s">
        <v>175</v>
      </c>
      <c r="G25" s="172">
        <f>Fin_Analysis!I88</f>
        <v>1.9081963845829624</v>
      </c>
    </row>
    <row r="26" spans="1:8" ht="15.75" customHeight="1" x14ac:dyDescent="0.15">
      <c r="B26" s="138" t="s">
        <v>174</v>
      </c>
      <c r="C26" s="172">
        <f>Fin_Analysis!I83</f>
        <v>4.4810180002141216E-2</v>
      </c>
      <c r="F26" s="141" t="s">
        <v>194</v>
      </c>
      <c r="G26" s="179">
        <f>Fin_Analysis!H88*Exchange_Rate/G3</f>
        <v>6.6019622093023256E-2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15">
      <c r="B29" s="87" t="s">
        <v>169</v>
      </c>
      <c r="C29" s="130">
        <f>IF(Fin_Analysis!C108="Profit",Fin_Analysis!D100,IF(Fin_Analysis!C108="Dividend",Fin_Analysis!D103,Fin_Analysis!D106))</f>
        <v>1.6561269776898206</v>
      </c>
      <c r="D29" s="129">
        <f>G29*(1+G20)</f>
        <v>3.1833751468618465</v>
      </c>
      <c r="E29" s="87"/>
      <c r="F29" s="131">
        <f>IF(Fin_Analysis!C108="Profit",Fin_Analysis!F100,IF(Fin_Analysis!C108="Dividend",Fin_Analysis!F103,Fin_Analysis!F106))</f>
        <v>1.9483846796350832</v>
      </c>
      <c r="G29" s="273">
        <f>IF(Fin_Analysis!C108="Profit",Fin_Analysis!I100,IF(Fin_Analysis!C108="Dividend",Fin_Analysis!I103,Fin_Analysis!I106))</f>
        <v>2.7681523016189971</v>
      </c>
      <c r="H29" s="273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7" t="s">
        <v>224</v>
      </c>
      <c r="C32" s="225"/>
    </row>
    <row r="33" spans="1:3" ht="15.75" customHeight="1" x14ac:dyDescent="0.15">
      <c r="A33"/>
      <c r="B33" s="20" t="s">
        <v>225</v>
      </c>
      <c r="C33" s="246" t="str">
        <f>Inputs!C17</f>
        <v>unclear</v>
      </c>
    </row>
    <row r="34" spans="1:3" ht="15.75" customHeight="1" x14ac:dyDescent="0.15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7" t="s">
        <v>227</v>
      </c>
      <c r="C35" s="225"/>
    </row>
    <row r="36" spans="1:3" ht="15.75" customHeight="1" x14ac:dyDescent="0.15">
      <c r="A36"/>
      <c r="B36" s="20" t="s">
        <v>239</v>
      </c>
      <c r="C36" s="246" t="str">
        <f>Inputs!C18</f>
        <v>unclear</v>
      </c>
    </row>
    <row r="37" spans="1:3" ht="15.75" customHeight="1" x14ac:dyDescent="0.15">
      <c r="A37"/>
      <c r="B37" s="20" t="s">
        <v>240</v>
      </c>
      <c r="C37" s="246" t="str">
        <f>Inputs!C19</f>
        <v>unclear</v>
      </c>
    </row>
    <row r="38" spans="1:3" ht="15.75" customHeight="1" x14ac:dyDescent="0.15">
      <c r="A38"/>
      <c r="B38" s="197" t="s">
        <v>228</v>
      </c>
      <c r="C38" s="225"/>
    </row>
    <row r="39" spans="1:3" ht="15.75" customHeight="1" x14ac:dyDescent="0.15">
      <c r="A39"/>
      <c r="B39" s="19" t="s">
        <v>229</v>
      </c>
      <c r="C39" s="246" t="str">
        <f>Inputs!C20</f>
        <v>unclear</v>
      </c>
    </row>
    <row r="40" spans="1:3" ht="15.75" customHeight="1" x14ac:dyDescent="0.15">
      <c r="A40"/>
      <c r="B40" s="1" t="s">
        <v>232</v>
      </c>
      <c r="C40" s="246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7" t="s">
        <v>231</v>
      </c>
      <c r="C43" s="245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2" sqref="C42:C4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1">
        <f>IF(Inputs!C25=""," ",Inputs!C25)</f>
        <v>28591271</v>
      </c>
      <c r="D6" s="201">
        <f>IF(Inputs!D25="","",Inputs!D25)</f>
        <v>28257432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>
        <f>IF(Inputs!C26="","",Inputs!C26)</f>
        <v>19879540</v>
      </c>
      <c r="D8" s="200">
        <f>IF(Inputs!D26="","",Inputs!D26)</f>
        <v>20069515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>
        <f t="shared" ref="C9:M9" si="2">IF(C6="","",(C6-C8))</f>
        <v>8711731</v>
      </c>
      <c r="D9" s="152">
        <f t="shared" si="2"/>
        <v>8187917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>
        <f>IF(Inputs!C27="","",Inputs!C27)</f>
        <v>7343798</v>
      </c>
      <c r="D10" s="200">
        <f>IF(Inputs!D27="","",Inputs!D27)</f>
        <v>6927622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242</v>
      </c>
      <c r="C13" s="230">
        <f t="shared" ref="C13:M13" si="3">IF(C14="","",C14/C6)</f>
        <v>4.7844427762585302E-2</v>
      </c>
      <c r="D13" s="230">
        <f t="shared" si="3"/>
        <v>4.4600478911176356E-2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234</v>
      </c>
      <c r="C14" s="231">
        <f>IF(C6="","",C9-C10-MAX(C11,0)-MAX(C12,0))</f>
        <v>1367933</v>
      </c>
      <c r="D14" s="231">
        <f t="shared" ref="D14:M14" si="4">IF(D6="","",D9-D10-MAX(D11,0)-MAX(D12,0))</f>
        <v>1260295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243</v>
      </c>
      <c r="C15" s="233">
        <f>IF(D14="","",IF(ABS(C14+D14)=ABS(C14)+ABS(D14),IF(C14&lt;0,-1,1)*(C14-D14)/D14,"Turn"))</f>
        <v>8.5406988046449445E-2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>
        <f>IF(Inputs!C31="","",Inputs!C31)</f>
        <v>-661661</v>
      </c>
      <c r="D16" s="200">
        <f>IF(Inputs!D31="","",Inputs!D31)</f>
        <v>814401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258</v>
      </c>
      <c r="C17" s="200">
        <f>IF(Inputs!C29="","",Inputs!C29)</f>
        <v>59121</v>
      </c>
      <c r="D17" s="200">
        <f>IF(Inputs!D29="","",Inputs!D29)</f>
        <v>60526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>
        <f t="shared" ref="C18:M18" si="6">IF(OR(C6="",C19=""),"",C19/C6)</f>
        <v>3.8698244649564548E-2</v>
      </c>
      <c r="D18" s="153">
        <f t="shared" si="6"/>
        <v>3.9488407863814377E-2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>
        <f>IF(Inputs!C32="","",Inputs!C32)</f>
        <v>1106432</v>
      </c>
      <c r="D19" s="200">
        <f>IF(Inputs!D32="","",Inputs!D32)</f>
        <v>1115841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3">
        <f t="shared" ref="C20:M20" si="7">IF(C6="","",MAX(C21,0)/C6)</f>
        <v>3.7731795833770385E-2</v>
      </c>
      <c r="D20" s="153">
        <f t="shared" si="7"/>
        <v>1.9318811419240078E-2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>
        <f>IF(Inputs!C33="","",Inputs!C33)</f>
        <v>1078800</v>
      </c>
      <c r="D21" s="200">
        <f>IF(Inputs!D33="","",Inputs!D33)</f>
        <v>545900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>
        <f>IF(C6="","",C14-MAX(C16,0)-MAX(C17,0)-ABS(MAX(C21,0)-MAX(C19,0)))</f>
        <v>1281180</v>
      </c>
      <c r="D22" s="162">
        <f t="shared" ref="D22:M22" si="8">IF(D6="","",D14-MAX(D16,0)-MAX(D17,0)-ABS(MAX(D21,0)-MAX(D19,0)))</f>
        <v>-184573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>
        <f t="shared" ref="C23:M23" si="9">IF(C6="","",C24/C6)</f>
        <v>3.3607635001605907E-2</v>
      </c>
      <c r="D23" s="154">
        <f t="shared" si="9"/>
        <v>-4.8988793461486524E-3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>
        <f t="shared" ref="C42:M42" si="34">IF(C6="","",C8/C6)</f>
        <v>0.69530102386843873</v>
      </c>
      <c r="D42" s="157">
        <f t="shared" si="34"/>
        <v>0.71023846045174943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4">
        <f t="shared" ref="C43:M43" si="35">IF(C6="","",(C10+MAX(C11,0))/C6)</f>
        <v>0.25685454836897598</v>
      </c>
      <c r="D43" s="154">
        <f t="shared" si="35"/>
        <v>0.24516106063707416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2.882077182385151E-2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>
        <f t="shared" ref="C45:M45" si="37">IF(C6="","",MAX(C17,0)/C6)</f>
        <v>2.0677989446499247E-3</v>
      </c>
      <c r="D45" s="154">
        <f t="shared" si="37"/>
        <v>2.1419497709487543E-3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4">
        <f>IF(C6="","",ABS(MAX(C21,0)-MAX(C19,0))/C6)</f>
        <v>9.6644881579416319E-4</v>
      </c>
      <c r="D47" s="154">
        <f t="shared" ref="D47:M47" si="39">IF(D6="","",ABS(MAX(D21,0)-MAX(D19,0))/D6)</f>
        <v>2.0169596444574299E-2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4">
        <f t="shared" ref="C48:M48" si="40">IF(C6="","",C22/C6)</f>
        <v>4.4810180002141216E-2</v>
      </c>
      <c r="D48" s="154">
        <f t="shared" si="40"/>
        <v>-6.5318391281982031E-3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>
        <f t="shared" ref="C55:M55" si="45">IF(C22="","",IF(MAX(C17,0)&lt;=0,"-",C17/C22))</f>
        <v>4.6145740645342576E-2</v>
      </c>
      <c r="D55" s="154">
        <f t="shared" si="45"/>
        <v>-0.32792445265558884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1" zoomScaleNormal="100" workbookViewId="0">
      <selection activeCell="H103" sqref="H10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15">
      <c r="B74" s="3" t="s">
        <v>127</v>
      </c>
      <c r="C74" s="77">
        <f>Data!C6</f>
        <v>28591271</v>
      </c>
      <c r="D74" s="210"/>
      <c r="E74" s="239">
        <f>Inputs!E91</f>
        <v>28591271</v>
      </c>
      <c r="F74" s="210"/>
      <c r="H74" s="239">
        <f>Inputs!F91</f>
        <v>28591271</v>
      </c>
      <c r="I74" s="210"/>
      <c r="K74" s="24"/>
    </row>
    <row r="75" spans="1:11" ht="15" customHeight="1" x14ac:dyDescent="0.15">
      <c r="B75" s="104" t="s">
        <v>106</v>
      </c>
      <c r="C75" s="77">
        <f>Data!C8</f>
        <v>19879540</v>
      </c>
      <c r="D75" s="160">
        <f>C75/$C$74</f>
        <v>0.69530102386843873</v>
      </c>
      <c r="E75" s="239">
        <f>Inputs!E92</f>
        <v>19879540</v>
      </c>
      <c r="F75" s="161">
        <f>E75/E74</f>
        <v>0.69530102386843873</v>
      </c>
      <c r="H75" s="239">
        <f>Inputs!F92</f>
        <v>19879540</v>
      </c>
      <c r="I75" s="161">
        <f>H75/$H$74</f>
        <v>0.69530102386843873</v>
      </c>
      <c r="K75" s="24"/>
    </row>
    <row r="76" spans="1:11" ht="15" customHeight="1" x14ac:dyDescent="0.15">
      <c r="B76" s="35" t="s">
        <v>96</v>
      </c>
      <c r="C76" s="162">
        <f>C74-C75</f>
        <v>8711731</v>
      </c>
      <c r="D76" s="211"/>
      <c r="E76" s="163">
        <f>E74-E75</f>
        <v>8711731</v>
      </c>
      <c r="F76" s="211"/>
      <c r="H76" s="163">
        <f>H74-H75</f>
        <v>8711731</v>
      </c>
      <c r="I76" s="211"/>
      <c r="K76" s="24"/>
    </row>
    <row r="77" spans="1:11" ht="15" customHeight="1" x14ac:dyDescent="0.15">
      <c r="B77" s="104" t="s">
        <v>248</v>
      </c>
      <c r="C77" s="77">
        <f>Data!C10+MAX(Data!C11,0)</f>
        <v>7343798</v>
      </c>
      <c r="D77" s="160">
        <f>C77/$C$74</f>
        <v>0.25685454836897598</v>
      </c>
      <c r="E77" s="239">
        <f>Inputs!E93</f>
        <v>7343798</v>
      </c>
      <c r="F77" s="161">
        <f>E77/E74</f>
        <v>0.25685454836897598</v>
      </c>
      <c r="H77" s="239">
        <f>Inputs!F93</f>
        <v>7343798</v>
      </c>
      <c r="I77" s="161">
        <f>H77/$H$74</f>
        <v>0.25685454836897598</v>
      </c>
      <c r="K77" s="24"/>
    </row>
    <row r="78" spans="1:11" ht="15" customHeight="1" x14ac:dyDescent="0.15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15">
      <c r="B79" s="257" t="s">
        <v>233</v>
      </c>
      <c r="C79" s="258">
        <f>C76-C77-C78</f>
        <v>1367933</v>
      </c>
      <c r="D79" s="259">
        <f>C79/C74</f>
        <v>4.7844427762585302E-2</v>
      </c>
      <c r="E79" s="260">
        <f>E76-E77-E78</f>
        <v>1367933</v>
      </c>
      <c r="F79" s="259">
        <f>E79/E74</f>
        <v>4.7844427762585302E-2</v>
      </c>
      <c r="G79" s="261"/>
      <c r="H79" s="260">
        <f>H76-H77-H78</f>
        <v>1367933</v>
      </c>
      <c r="I79" s="259">
        <f>H79/H74</f>
        <v>4.7844427762585302E-2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15">
      <c r="B81" s="104" t="s">
        <v>258</v>
      </c>
      <c r="C81" s="77">
        <f>MAX(Data!C17,0)</f>
        <v>59121</v>
      </c>
      <c r="D81" s="160">
        <f>C81/$C$74</f>
        <v>2.0677989446499247E-3</v>
      </c>
      <c r="E81" s="181">
        <f>E74*F81</f>
        <v>59121</v>
      </c>
      <c r="F81" s="161">
        <f>I81</f>
        <v>2.0677989446499247E-3</v>
      </c>
      <c r="H81" s="239">
        <f>Inputs!F94</f>
        <v>59121</v>
      </c>
      <c r="I81" s="161">
        <f>H81/$H$74</f>
        <v>2.0677989446499247E-3</v>
      </c>
      <c r="K81" s="24"/>
    </row>
    <row r="82" spans="1:11" ht="15" customHeight="1" x14ac:dyDescent="0.15">
      <c r="B82" s="28" t="s">
        <v>247</v>
      </c>
      <c r="C82" s="77">
        <f>ABS(MAX(Data!C21,0)-MAX(Data!C19,0))</f>
        <v>27632</v>
      </c>
      <c r="D82" s="160">
        <f>C82/$C$74</f>
        <v>9.6644881579416319E-4</v>
      </c>
      <c r="E82" s="239">
        <f>Inputs!E95</f>
        <v>27632</v>
      </c>
      <c r="F82" s="161">
        <f>E82/E74</f>
        <v>9.6644881579416319E-4</v>
      </c>
      <c r="H82" s="239">
        <f>Inputs!F95</f>
        <v>27632</v>
      </c>
      <c r="I82" s="161">
        <f>H82/$H$74</f>
        <v>9.6644881579416319E-4</v>
      </c>
      <c r="K82" s="24"/>
    </row>
    <row r="83" spans="1:11" ht="15" customHeight="1" thickBot="1" x14ac:dyDescent="0.2">
      <c r="B83" s="105" t="s">
        <v>126</v>
      </c>
      <c r="C83" s="164">
        <f>C79-C81-C82-C80</f>
        <v>1281180</v>
      </c>
      <c r="D83" s="165">
        <f>C83/$C$74</f>
        <v>4.4810180002141216E-2</v>
      </c>
      <c r="E83" s="166">
        <f>E79-E81-E82-E80</f>
        <v>1281180</v>
      </c>
      <c r="F83" s="165">
        <f>E83/E74</f>
        <v>4.4810180002141216E-2</v>
      </c>
      <c r="H83" s="166">
        <f>H79-H81-H82-H80</f>
        <v>1281180</v>
      </c>
      <c r="I83" s="165">
        <f>H83/$H$74</f>
        <v>4.4810180002141216E-2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165</v>
      </c>
      <c r="C85" s="258">
        <f>C83*(1-I84)</f>
        <v>960885</v>
      </c>
      <c r="D85" s="259">
        <f>C85/$C$74</f>
        <v>3.3607635001605907E-2</v>
      </c>
      <c r="E85" s="265">
        <f>E83*(1-F84)</f>
        <v>960885</v>
      </c>
      <c r="F85" s="259">
        <f>E85/E74</f>
        <v>3.3607635001605907E-2</v>
      </c>
      <c r="G85" s="261"/>
      <c r="H85" s="265">
        <f>H83*(1-I84)</f>
        <v>960885</v>
      </c>
      <c r="I85" s="259">
        <f>H85/$H$74</f>
        <v>3.3607635001605907E-2</v>
      </c>
      <c r="K85" s="24"/>
    </row>
    <row r="86" spans="1:11" ht="15" customHeight="1" x14ac:dyDescent="0.15">
      <c r="B86" s="87" t="s">
        <v>161</v>
      </c>
      <c r="C86" s="168">
        <f>C85*Data!C4/Common_Shares</f>
        <v>0.22246137946266717</v>
      </c>
      <c r="D86" s="210"/>
      <c r="E86" s="169">
        <f>E85*Data!C4/Common_Shares</f>
        <v>0.22246137946266717</v>
      </c>
      <c r="F86" s="210"/>
      <c r="H86" s="169">
        <f>H85*Data!C4/Common_Shares</f>
        <v>0.22246137946266717</v>
      </c>
      <c r="I86" s="210"/>
      <c r="K86" s="24"/>
    </row>
    <row r="87" spans="1:11" ht="15" customHeight="1" x14ac:dyDescent="0.15">
      <c r="B87" s="87" t="s">
        <v>209</v>
      </c>
      <c r="C87" s="262">
        <f>C86*Exchange_Rate/Dashboard!G3</f>
        <v>3.4597918026897365E-2</v>
      </c>
      <c r="D87" s="210"/>
      <c r="E87" s="263">
        <f>E86*Exchange_Rate/Dashboard!G3</f>
        <v>3.4597918026897365E-2</v>
      </c>
      <c r="F87" s="210"/>
      <c r="H87" s="263">
        <f>H86*Exchange_Rate/Dashboard!G3</f>
        <v>3.4597918026897365E-2</v>
      </c>
      <c r="I87" s="210"/>
      <c r="K87" s="24"/>
    </row>
    <row r="88" spans="1:11" ht="15" customHeight="1" x14ac:dyDescent="0.15">
      <c r="B88" s="86" t="s">
        <v>208</v>
      </c>
      <c r="C88" s="170">
        <f>Inputs!C44</f>
        <v>0.42449999999999999</v>
      </c>
      <c r="D88" s="167">
        <f>C88/C86</f>
        <v>1.9081963845829624</v>
      </c>
      <c r="E88" s="171">
        <f>Inputs!E98</f>
        <v>0.42449999999999999</v>
      </c>
      <c r="F88" s="167">
        <f>E88/E86</f>
        <v>1.9081963845829624</v>
      </c>
      <c r="H88" s="171">
        <f>Inputs!F98</f>
        <v>0.42449999999999999</v>
      </c>
      <c r="I88" s="167">
        <f>H88/H86</f>
        <v>1.9081963845829624</v>
      </c>
      <c r="K88" s="24"/>
    </row>
    <row r="89" spans="1:11" ht="15" customHeight="1" x14ac:dyDescent="0.15">
      <c r="B89" s="87" t="s">
        <v>222</v>
      </c>
      <c r="C89" s="262">
        <f>C88*Exchange_Rate/Dashboard!G3</f>
        <v>6.6019622093023256E-2</v>
      </c>
      <c r="D89" s="210"/>
      <c r="E89" s="262">
        <f>E88*Exchange_Rate/Dashboard!G3</f>
        <v>6.6019622093023256E-2</v>
      </c>
      <c r="F89" s="210"/>
      <c r="H89" s="262">
        <f>H88*Exchange_Rate/Dashboard!G3</f>
        <v>6.6019622093023256E-2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15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3.9188975293989086</v>
      </c>
      <c r="H93" s="87" t="s">
        <v>210</v>
      </c>
      <c r="I93" s="144">
        <f>FV(H87,D93,0,-(H86/C93))*Exchange_Rate</f>
        <v>3.9188975293989086</v>
      </c>
      <c r="K93" s="24"/>
    </row>
    <row r="94" spans="1:11" ht="15" customHeight="1" x14ac:dyDescent="0.15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8.6847029734840433</v>
      </c>
      <c r="H94" s="87" t="s">
        <v>211</v>
      </c>
      <c r="I94" s="144">
        <f>FV(H89,D93,0,-(H88/C93))*Exchange_Rate</f>
        <v>8.6847029734840433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8415724.1918269228</v>
      </c>
      <c r="D97" s="214"/>
      <c r="E97" s="123">
        <f>PV(C94,D93,0,-F93)</f>
        <v>1.9483846796350834</v>
      </c>
      <c r="F97" s="214"/>
      <c r="H97" s="123">
        <f>PV(C94,D93,0,-I93)</f>
        <v>1.9483846796350834</v>
      </c>
      <c r="I97" s="123">
        <f>PV(C93,D93,0,-I93)</f>
        <v>2.7681523016189971</v>
      </c>
      <c r="K97" s="24"/>
    </row>
    <row r="98" spans="2:11" ht="15" customHeight="1" x14ac:dyDescent="0.15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15">
      <c r="B100" s="1" t="s">
        <v>115</v>
      </c>
      <c r="C100" s="91">
        <f>C97-C98+$C$99</f>
        <v>8415724.1918269228</v>
      </c>
      <c r="D100" s="109">
        <f>MIN(F100*(1-C94),E100)</f>
        <v>1.6561269776898206</v>
      </c>
      <c r="E100" s="109">
        <f>MAX(E97-H98+E99,0)</f>
        <v>1.9483846796350834</v>
      </c>
      <c r="F100" s="109">
        <f>(E100+H100)/2</f>
        <v>1.9483846796350832</v>
      </c>
      <c r="H100" s="109">
        <f>MAX(C100*Data!$C$4/Common_Shares,0)</f>
        <v>1.9483846796350832</v>
      </c>
      <c r="I100" s="109">
        <f>MAX(I97-H98+H99,0)</f>
        <v>2.7681523016189971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18650159.736121327</v>
      </c>
      <c r="D103" s="109">
        <f>MIN(F103*(1-C94),E103)</f>
        <v>3.6701574306833251</v>
      </c>
      <c r="E103" s="123">
        <f>PV(C94,D93,0,-F94)</f>
        <v>4.3178322713921471</v>
      </c>
      <c r="F103" s="109">
        <f>(E103+H103)/2</f>
        <v>4.3178322713921471</v>
      </c>
      <c r="H103" s="123">
        <f>PV(C94,D93,0,-I94)</f>
        <v>4.3178322713921471</v>
      </c>
      <c r="I103" s="109">
        <f>PV(C93,D93,0,-I94)</f>
        <v>6.1345264438732627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>
        <f>E106*Common_Shares/Data!C4</f>
        <v>13532941.963974126</v>
      </c>
      <c r="D106" s="109">
        <f>(D100+D103)/2</f>
        <v>2.6631422041865731</v>
      </c>
      <c r="E106" s="123">
        <f>(E100+E103)/2</f>
        <v>3.1331084755136152</v>
      </c>
      <c r="F106" s="109">
        <f>(F100+F103)/2</f>
        <v>3.1331084755136152</v>
      </c>
      <c r="H106" s="123">
        <f>(H100+H103)/2</f>
        <v>3.1331084755136152</v>
      </c>
      <c r="I106" s="123">
        <f>(I100+I103)/2</f>
        <v>4.4513393727461299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2024-11-29T16:35:56Z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