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11DBBBAB-703E-5549-B864-B7FA0CE0C94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4" i="4" l="1"/>
  <c r="C44" i="4"/>
  <c r="C68" i="4"/>
  <c r="C65" i="4"/>
  <c r="C61" i="4"/>
  <c r="C52" i="4"/>
  <c r="C51" i="4"/>
  <c r="C48" i="4"/>
  <c r="D43" i="4"/>
  <c r="D40" i="4"/>
  <c r="D39" i="4"/>
  <c r="D35" i="4"/>
  <c r="D27" i="4"/>
  <c r="C27" i="4"/>
  <c r="C7" i="1" l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<sst xmlns="http://schemas.openxmlformats.org/spreadsheetml/2006/main" count="390" uniqueCount="269">
  <si>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</si>
  <si>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</si>
  <si>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</si>
  <si>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</si>
  <si>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</si>
  <si>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</si>
  <si>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</si>
  <si>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</si>
  <si>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</si>
  <si>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</si>
  <si>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</si>
  <si>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</si>
  <si>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</si>
  <si>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</si>
  <si>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</si>
  <si>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</si>
  <si>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</si>
  <si>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</si>
  <si>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</si>
  <si>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</si>
  <si>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</si>
  <si>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</si>
  <si>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</si>
  <si>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</si>
  <si>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</si>
  <si>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</si>
  <si>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</si>
  <si>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</si>
  <si>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</si>
  <si>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</si>
  <si>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</si>
  <si>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</si>
  <si>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</si>
  <si>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</si>
  <si>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</si>
  <si>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</si>
  <si>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</si>
  <si>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</si>
  <si>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</si>
  <si>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</si>
  <si>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</si>
  <si>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</si>
  <si>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</si>
  <si>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</si>
  <si>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</si>
  <si>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</si>
  <si>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</si>
  <si>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</si>
  <si>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</si>
  <si>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</si>
  <si>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</si>
  <si>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</si>
  <si>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</si>
  <si>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</si>
  <si>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</si>
  <si>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</si>
  <si>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</si>
  <si>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</si>
  <si>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</si>
  <si>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</si>
  <si>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</si>
  <si>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</si>
  <si>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</si>
  <si>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</si>
  <si>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</si>
  <si>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</si>
  <si>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</si>
  <si>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</si>
  <si>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</si>
  <si>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</si>
  <si>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</si>
  <si>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</si>
  <si>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</si>
  <si>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</si>
  <si>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</si>
  <si>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</si>
  <si>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</si>
  <si>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</si>
  <si>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</si>
  <si>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</si>
  <si>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</si>
  <si>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</si>
  <si>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</si>
  <si>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</si>
  <si>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</si>
  <si>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</si>
  <si>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</si>
  <si>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</si>
  <si>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</si>
  <si>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</si>
  <si>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</si>
  <si>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</si>
  <si>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</si>
  <si>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</si>
  <si>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</si>
  <si>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</si>
  <si>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</si>
  <si>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</si>
  <si>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</si>
  <si>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</si>
  <si>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</si>
  <si>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</si>
  <si>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</si>
  <si>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</si>
  <si>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</si>
  <si>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</si>
  <si>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</si>
  <si>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</si>
  <si>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</si>
  <si>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</si>
  <si>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</si>
  <si>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</si>
  <si>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</si>
  <si>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</si>
  <si>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</si>
  <si>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</si>
  <si>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</si>
  <si>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</si>
  <si>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</si>
  <si>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</si>
  <si>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</si>
  <si>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</si>
  <si>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</si>
  <si>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</si>
  <si>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</si>
  <si>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</si>
  <si>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</si>
  <si>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</si>
  <si>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</si>
  <si>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</si>
  <si>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</si>
  <si>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</si>
  <si>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</si>
  <si>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</si>
  <si>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</si>
  <si>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</si>
  <si>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</si>
  <si>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</si>
  <si>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</si>
  <si>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</si>
  <si>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</si>
  <si>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</si>
  <si>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</si>
  <si>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</si>
  <si>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</si>
  <si>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</si>
  <si>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</si>
  <si>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</si>
  <si>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</si>
  <si>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</si>
  <si>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</si>
  <si>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</si>
  <si>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</si>
  <si>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</si>
  <si>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</si>
  <si>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</si>
  <si>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</si>
  <si>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</si>
  <si>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</si>
  <si>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</si>
  <si>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</si>
  <si>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</si>
  <si>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</si>
  <si>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</si>
  <si>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</si>
  <si>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</si>
  <si>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</si>
  <si>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</si>
  <si>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</si>
  <si>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</si>
  <si>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</si>
  <si>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</si>
  <si>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</si>
  <si>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</si>
  <si>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</si>
  <si>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</si>
  <si>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</si>
  <si>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</si>
  <si>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</si>
  <si>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</si>
  <si>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</si>
  <si>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</si>
  <si>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</si>
  <si>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</si>
  <si>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</si>
  <si>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</si>
  <si>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</si>
  <si>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</si>
  <si>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</si>
  <si>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</si>
  <si>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</si>
  <si>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</si>
  <si>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</si>
  <si>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</si>
  <si>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</si>
  <si>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</si>
  <si>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</si>
  <si>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</si>
  <si>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</si>
  <si>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</si>
  <si>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</si>
  <si>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</si>
  <si>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</si>
  <si>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</si>
  <si>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</si>
  <si>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</si>
  <si>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</si>
  <si>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</si>
  <si>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</si>
  <si>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</si>
  <si>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</si>
  <si>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</si>
  <si>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</si>
  <si>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</si>
  <si>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</si>
  <si>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</si>
  <si>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</si>
  <si>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</si>
  <si>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</si>
  <si>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</si>
  <si>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</si>
  <si>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</si>
  <si>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</si>
  <si>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</si>
  <si>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</si>
  <si>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</si>
  <si>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</si>
  <si>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</si>
  <si>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</si>
  <si>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</si>
  <si>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</si>
  <si>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</si>
  <si>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</si>
  <si>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</si>
  <si>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</si>
  <si>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</si>
  <si>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</si>
  <si>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</si>
  <si>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</si>
  <si>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</si>
  <si>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</si>
  <si>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</si>
  <si>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</si>
  <si>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</si>
  <si>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</si>
  <si>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</si>
  <si>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</si>
  <si>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</si>
  <si>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</si>
  <si>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</si>
  <si>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</si>
  <si>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</si>
  <si>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</si>
  <si>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</si>
  <si>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</si>
  <si>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</si>
  <si>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</si>
  <si>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</si>
  <si>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</si>
  <si>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</si>
  <si>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</si>
  <si>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0700.HK</t>
  </si>
  <si>
    <t>騰訊控股</t>
  </si>
  <si>
    <t>C0009</t>
  </si>
  <si>
    <t>CNY</t>
  </si>
  <si>
    <t>agree</t>
  </si>
  <si>
    <t>Consumer Monopoly</t>
  </si>
  <si>
    <t>Tier 3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</si>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</sst>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="125" zoomScaleNormal="100" workbookViewId="0">
      <selection activeCell="C12" sqref="C12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215</v>
      </c>
    </row>
    <row r="4" spans="1:5" ht="14" x14ac:dyDescent="0.15">
      <c r="B4" s="141" t="s">
        <v>195</v>
      </c>
      <c r="C4" s="189" t="s">
        <v>261</v>
      </c>
    </row>
    <row r="5" spans="1:5" ht="14" x14ac:dyDescent="0.15">
      <c r="B5" s="141" t="s">
        <v>196</v>
      </c>
      <c r="C5" s="192" t="s">
        <v>262</v>
      </c>
    </row>
    <row r="6" spans="1:5" ht="14" x14ac:dyDescent="0.15">
      <c r="B6" s="141" t="s">
        <v>164</v>
      </c>
      <c r="C6" s="190">
        <v>45624</v>
      </c>
    </row>
    <row r="7" spans="1:5" ht="14" x14ac:dyDescent="0.15">
      <c r="B7" s="140" t="s">
        <v>4</v>
      </c>
      <c r="C7" s="191">
        <v>8</v>
      </c>
    </row>
    <row r="8" spans="1:5" ht="14" x14ac:dyDescent="0.15">
      <c r="B8" s="140" t="s">
        <v>216</v>
      </c>
      <c r="C8" s="192" t="s">
        <v>267</v>
      </c>
      <c r="E8" s="268"/>
    </row>
    <row r="9" spans="1:5" ht="14" x14ac:dyDescent="0.15">
      <c r="B9" s="140" t="s">
        <v>217</v>
      </c>
      <c r="C9" s="193" t="s">
        <v>263</v>
      </c>
    </row>
    <row r="10" spans="1:5" ht="14" x14ac:dyDescent="0.15">
      <c r="B10" s="140" t="s">
        <v>218</v>
      </c>
      <c r="C10" s="194">
        <v>9267407258</v>
      </c>
    </row>
    <row r="11" spans="1:5" ht="14" x14ac:dyDescent="0.15">
      <c r="B11" s="140" t="s">
        <v>219</v>
      </c>
      <c r="C11" s="193" t="s">
        <v>264</v>
      </c>
    </row>
    <row r="12" spans="1:5" ht="14" x14ac:dyDescent="0.15">
      <c r="B12" s="219" t="s">
        <v>10</v>
      </c>
      <c r="C12" s="220">
        <v>45291</v>
      </c>
    </row>
    <row r="13" spans="1:5" ht="14" x14ac:dyDescent="0.15">
      <c r="B13" s="219" t="s">
        <v>11</v>
      </c>
      <c r="C13" s="221">
        <v>1000000</v>
      </c>
    </row>
    <row r="14" spans="1:5" ht="14" x14ac:dyDescent="0.15">
      <c r="B14" s="219" t="s">
        <v>220</v>
      </c>
      <c r="C14" s="220">
        <v>45473</v>
      </c>
    </row>
    <row r="15" spans="1:5" ht="14" x14ac:dyDescent="0.15">
      <c r="B15" s="219" t="s">
        <v>257</v>
      </c>
      <c r="C15" s="177" t="s">
        <v>268</v>
      </c>
    </row>
    <row r="16" spans="1:5" ht="14" x14ac:dyDescent="0.15">
      <c r="B16" s="223" t="s">
        <v>97</v>
      </c>
      <c r="C16" s="224">
        <v>0.25</v>
      </c>
      <c r="D16" s="24"/>
    </row>
    <row r="17" spans="2:13" ht="14" x14ac:dyDescent="0.15">
      <c r="B17" s="241" t="s">
        <v>225</v>
      </c>
      <c r="C17" s="243" t="s">
        <v>265</v>
      </c>
      <c r="D17" s="24"/>
    </row>
    <row r="18" spans="2:13" ht="14" x14ac:dyDescent="0.15">
      <c r="B18" s="241" t="s">
        <v>239</v>
      </c>
      <c r="C18" s="243" t="s">
        <v>246</v>
      </c>
      <c r="D18" s="24"/>
    </row>
    <row r="19" spans="2:13" ht="14" x14ac:dyDescent="0.15">
      <c r="B19" s="241" t="s">
        <v>240</v>
      </c>
      <c r="C19" s="243" t="s">
        <v>246</v>
      </c>
      <c r="D19" s="24"/>
    </row>
    <row r="20" spans="2:13" ht="14" x14ac:dyDescent="0.15">
      <c r="B20" s="242" t="s">
        <v>229</v>
      </c>
      <c r="C20" s="243" t="s">
        <v>246</v>
      </c>
      <c r="D20" s="24"/>
    </row>
    <row r="21" spans="2:13" ht="14" x14ac:dyDescent="0.15">
      <c r="B21" s="225" t="s">
        <v>232</v>
      </c>
      <c r="C21" s="243" t="s">
        <v>246</v>
      </c>
      <c r="D21" s="24"/>
    </row>
    <row r="22" spans="2:13" ht="84" x14ac:dyDescent="0.15">
      <c r="B22" s="227" t="s">
        <v>231</v>
      </c>
      <c r="C22" s="244" t="s">
        <v>266</v>
      </c>
      <c r="D22" s="24"/>
    </row>
    <row r="24" spans="2:13" ht="15" x14ac:dyDescent="0.15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50">
        <v>609015</v>
      </c>
      <c r="D25" s="150">
        <v>554552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5" x14ac:dyDescent="0.15">
      <c r="B26" s="97" t="s">
        <v>106</v>
      </c>
      <c r="C26" s="151">
        <v>315906</v>
      </c>
      <c r="D26" s="151">
        <v>315806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5" x14ac:dyDescent="0.15">
      <c r="B27" s="97" t="s">
        <v>104</v>
      </c>
      <c r="C27" s="151">
        <f>34211+103525</f>
        <v>137736</v>
      </c>
      <c r="D27" s="151">
        <f>29229+106696</f>
        <v>135925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5" x14ac:dyDescent="0.15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5" x14ac:dyDescent="0.15">
      <c r="B29" s="97" t="s">
        <v>258</v>
      </c>
      <c r="C29" s="151">
        <v>12268</v>
      </c>
      <c r="D29" s="151">
        <v>9352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4" x14ac:dyDescent="0.15">
      <c r="B30" s="99" t="s">
        <v>111</v>
      </c>
      <c r="C30" s="151">
        <v>2832</v>
      </c>
      <c r="D30" s="151">
        <v>466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5" x14ac:dyDescent="0.15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5" x14ac:dyDescent="0.15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5" x14ac:dyDescent="0.15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5" x14ac:dyDescent="0.15">
      <c r="B34" s="94" t="s">
        <v>15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5" x14ac:dyDescent="0.15">
      <c r="B35" s="94" t="s">
        <v>117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5" x14ac:dyDescent="0.15">
      <c r="B36" s="94" t="s">
        <v>149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5" x14ac:dyDescent="0.15">
      <c r="B37" s="94" t="s">
        <v>16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5" x14ac:dyDescent="0.15">
      <c r="B38" s="94" t="s">
        <v>116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5" x14ac:dyDescent="0.15">
      <c r="B39" s="94" t="s">
        <v>17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5" x14ac:dyDescent="0.15">
      <c r="B40" s="94" t="s">
        <v>18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5" x14ac:dyDescent="0.15">
      <c r="B41" s="94" t="s">
        <v>138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5" x14ac:dyDescent="0.15">
      <c r="B42" s="94" t="s">
        <v>139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5" x14ac:dyDescent="0.15">
      <c r="B43" s="94" t="s">
        <v>137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4" x14ac:dyDescent="0.15">
      <c r="B44" s="74" t="s">
        <v>208</v>
      </c>
      <c r="C44" s="251">
        <f>3.4/Exchange_Rate</f>
        <v>3.1775700934579438</v>
      </c>
      <c r="D44" s="251">
        <f>2.4/Exchange_Rate</f>
        <v>2.2429906542056073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4" x14ac:dyDescent="0.15">
      <c r="B45" s="74" t="s">
        <v>254</v>
      </c>
      <c r="C45" s="153">
        <f>IF(C44="","",C44*Exchange_Rate/Dashboard!$G$3)</f>
        <v>8.5000000000000006E-3</v>
      </c>
      <c r="D45" s="153">
        <f>IF(D44="","",D44*Exchange_Rate/Dashboard!$G$3)</f>
        <v>6.0000000000000001E-3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4" x14ac:dyDescent="0.15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4" x14ac:dyDescent="0.15">
      <c r="B48" s="3" t="s">
        <v>38</v>
      </c>
      <c r="C48" s="59">
        <f>200090+153511</f>
        <v>353601</v>
      </c>
      <c r="D48" s="60">
        <v>0.9</v>
      </c>
      <c r="E48" s="112"/>
    </row>
    <row r="49" spans="2:5" ht="14" x14ac:dyDescent="0.15">
      <c r="B49" s="1" t="s">
        <v>136</v>
      </c>
      <c r="C49" s="59">
        <v>3408</v>
      </c>
      <c r="D49" s="60">
        <v>0.8</v>
      </c>
      <c r="E49" s="112"/>
    </row>
    <row r="50" spans="2:5" ht="14" x14ac:dyDescent="0.15">
      <c r="B50" s="3" t="s">
        <v>117</v>
      </c>
      <c r="C50" s="59">
        <v>52250</v>
      </c>
      <c r="D50" s="60">
        <f>D51</f>
        <v>0.6</v>
      </c>
      <c r="E50" s="112"/>
    </row>
    <row r="51" spans="2:5" ht="14" x14ac:dyDescent="0.15">
      <c r="B51" s="3" t="s">
        <v>42</v>
      </c>
      <c r="C51" s="59">
        <f>8864+850</f>
        <v>9714</v>
      </c>
      <c r="D51" s="60">
        <v>0.6</v>
      </c>
      <c r="E51" s="112"/>
    </row>
    <row r="52" spans="2:5" ht="14" x14ac:dyDescent="0.15">
      <c r="B52" s="3" t="s">
        <v>44</v>
      </c>
      <c r="C52" s="59">
        <f>5437</f>
        <v>5437</v>
      </c>
      <c r="D52" s="60">
        <v>0.5</v>
      </c>
      <c r="E52" s="112"/>
    </row>
    <row r="53" spans="2:5" ht="14" x14ac:dyDescent="0.15">
      <c r="B53" s="1" t="s">
        <v>159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>
        <v>92844</v>
      </c>
      <c r="D54" s="60">
        <v>0.1</v>
      </c>
      <c r="E54" s="112"/>
    </row>
    <row r="55" spans="2:5" ht="14" x14ac:dyDescent="0.15">
      <c r="B55" s="3" t="s">
        <v>47</v>
      </c>
      <c r="C55" s="59">
        <v>4387</v>
      </c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2" t="s">
        <v>71</v>
      </c>
    </row>
    <row r="57" spans="2:5" ht="14" x14ac:dyDescent="0.15">
      <c r="B57" s="3" t="s">
        <v>120</v>
      </c>
      <c r="C57" s="59"/>
      <c r="D57" s="60">
        <v>0.6</v>
      </c>
      <c r="E57" s="222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6">
        <f>D70</f>
        <v>0.05</v>
      </c>
      <c r="E59" s="112"/>
    </row>
    <row r="60" spans="2:5" ht="14" x14ac:dyDescent="0.15">
      <c r="B60" s="3" t="s">
        <v>61</v>
      </c>
      <c r="C60" s="59">
        <v>51490</v>
      </c>
      <c r="D60" s="60">
        <f>D49</f>
        <v>0.8</v>
      </c>
      <c r="E60" s="112"/>
    </row>
    <row r="61" spans="2:5" ht="14" x14ac:dyDescent="0.15">
      <c r="B61" s="3" t="s">
        <v>63</v>
      </c>
      <c r="C61" s="59">
        <f>206848+253436</f>
        <v>460284</v>
      </c>
      <c r="D61" s="60">
        <f>D51</f>
        <v>0.6</v>
      </c>
      <c r="E61" s="112"/>
    </row>
    <row r="62" spans="2:5" ht="14" x14ac:dyDescent="0.15">
      <c r="B62" s="3" t="s">
        <v>65</v>
      </c>
      <c r="C62" s="59">
        <v>1144</v>
      </c>
      <c r="D62" s="60">
        <f>D52</f>
        <v>0.5</v>
      </c>
      <c r="E62" s="112"/>
    </row>
    <row r="63" spans="2:5" ht="14" x14ac:dyDescent="0.15">
      <c r="B63" s="1" t="s">
        <v>160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>
        <f>262961+7221</f>
        <v>270182</v>
      </c>
      <c r="D65" s="60">
        <v>0.1</v>
      </c>
      <c r="E65" s="222" t="s">
        <v>71</v>
      </c>
    </row>
    <row r="66" spans="2:5" ht="14" x14ac:dyDescent="0.15">
      <c r="B66" s="3" t="s">
        <v>72</v>
      </c>
      <c r="C66" s="59">
        <v>659</v>
      </c>
      <c r="D66" s="60">
        <v>0.2</v>
      </c>
      <c r="E66" s="222" t="s">
        <v>71</v>
      </c>
    </row>
    <row r="67" spans="2:5" ht="14" x14ac:dyDescent="0.15">
      <c r="B67" s="1" t="s">
        <v>49</v>
      </c>
      <c r="C67" s="59">
        <v>13463</v>
      </c>
      <c r="D67" s="60">
        <f>D65</f>
        <v>0.1</v>
      </c>
      <c r="E67" s="222" t="s">
        <v>46</v>
      </c>
    </row>
    <row r="68" spans="2:5" ht="14" x14ac:dyDescent="0.15">
      <c r="B68" s="3" t="s">
        <v>119</v>
      </c>
      <c r="C68" s="59">
        <f>57195+23479+18800+27746</f>
        <v>127220</v>
      </c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>
        <v>177621</v>
      </c>
      <c r="D70" s="60">
        <v>0.05</v>
      </c>
      <c r="E70" s="112"/>
    </row>
    <row r="71" spans="2:5" ht="14" x14ac:dyDescent="0.15">
      <c r="B71" s="3" t="s">
        <v>75</v>
      </c>
      <c r="C71" s="59">
        <v>31266</v>
      </c>
      <c r="D71" s="60">
        <f>D58</f>
        <v>0.9</v>
      </c>
      <c r="E71" s="112"/>
    </row>
    <row r="72" spans="2:5" ht="15" thickBot="1" x14ac:dyDescent="0.2">
      <c r="B72" s="247" t="s">
        <v>76</v>
      </c>
      <c r="C72" s="248"/>
      <c r="D72" s="249">
        <v>0</v>
      </c>
      <c r="E72" s="250"/>
    </row>
    <row r="73" spans="2:5" ht="14" x14ac:dyDescent="0.15">
      <c r="B73" s="3" t="s">
        <v>39</v>
      </c>
      <c r="C73" s="59">
        <v>52462</v>
      </c>
    </row>
    <row r="74" spans="2:5" ht="14" x14ac:dyDescent="0.15">
      <c r="B74" s="3" t="s">
        <v>40</v>
      </c>
      <c r="C74" s="59">
        <v>5999</v>
      </c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>
        <v>387826</v>
      </c>
    </row>
    <row r="78" spans="2:5" ht="15" thickTop="1" x14ac:dyDescent="0.15">
      <c r="B78" s="3" t="s">
        <v>62</v>
      </c>
      <c r="C78" s="59">
        <v>152946</v>
      </c>
    </row>
    <row r="79" spans="2:5" ht="14" x14ac:dyDescent="0.15">
      <c r="B79" s="3" t="s">
        <v>64</v>
      </c>
      <c r="C79" s="59">
        <v>14979</v>
      </c>
    </row>
    <row r="80" spans="2:5" ht="14" x14ac:dyDescent="0.15">
      <c r="B80" s="3" t="s">
        <v>66</v>
      </c>
      <c r="C80" s="59">
        <v>0</v>
      </c>
    </row>
    <row r="81" spans="2:8" ht="14" x14ac:dyDescent="0.15">
      <c r="B81" s="86" t="s">
        <v>67</v>
      </c>
      <c r="C81" s="120">
        <v>86574</v>
      </c>
    </row>
    <row r="82" spans="2:8" ht="15" thickBot="1" x14ac:dyDescent="0.2">
      <c r="B82" s="80" t="s">
        <v>85</v>
      </c>
      <c r="C82" s="83">
        <v>339547</v>
      </c>
    </row>
    <row r="83" spans="2:8" ht="15" thickTop="1" x14ac:dyDescent="0.15">
      <c r="B83" s="73" t="s">
        <v>221</v>
      </c>
      <c r="C83" s="59">
        <v>860681</v>
      </c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251</v>
      </c>
      <c r="C86" s="198">
        <v>5</v>
      </c>
    </row>
    <row r="87" spans="2:8" ht="14" x14ac:dyDescent="0.15">
      <c r="B87" s="10" t="s">
        <v>249</v>
      </c>
      <c r="C87" s="237" t="s">
        <v>252</v>
      </c>
    </row>
    <row r="89" spans="2:8" ht="14" x14ac:dyDescent="0.1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4" x14ac:dyDescent="0.15">
      <c r="B90" s="12" t="str">
        <f>"(Numbers in "&amp;Data!C4&amp;Dashboard!G6&amp;")"</f>
        <v>(Numbers in 1000000CNY)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4" x14ac:dyDescent="0.15">
      <c r="B91" s="3" t="s">
        <v>127</v>
      </c>
      <c r="C91" s="77">
        <f>C25</f>
        <v>609015</v>
      </c>
      <c r="D91" s="210"/>
      <c r="E91" s="252">
        <f>C91</f>
        <v>609015</v>
      </c>
      <c r="F91" s="252">
        <f>C91</f>
        <v>609015</v>
      </c>
    </row>
    <row r="92" spans="2:8" ht="14" x14ac:dyDescent="0.15">
      <c r="B92" s="104" t="s">
        <v>106</v>
      </c>
      <c r="C92" s="77">
        <f>C26</f>
        <v>315906</v>
      </c>
      <c r="D92" s="160">
        <f>C92/C91</f>
        <v>0.51871628777616319</v>
      </c>
      <c r="E92" s="253">
        <f>E91*D92</f>
        <v>315906</v>
      </c>
      <c r="F92" s="253">
        <f>F91*D92</f>
        <v>315906</v>
      </c>
    </row>
    <row r="93" spans="2:8" ht="14" x14ac:dyDescent="0.15">
      <c r="B93" s="104" t="s">
        <v>248</v>
      </c>
      <c r="C93" s="77">
        <f>C27+C28</f>
        <v>137736</v>
      </c>
      <c r="D93" s="160">
        <f>C93/C91</f>
        <v>0.22616191719415779</v>
      </c>
      <c r="E93" s="253">
        <f>E91*D93</f>
        <v>137736</v>
      </c>
      <c r="F93" s="253">
        <f>F91*D93</f>
        <v>137736</v>
      </c>
    </row>
    <row r="94" spans="2:8" ht="14" x14ac:dyDescent="0.15">
      <c r="B94" s="104" t="s">
        <v>258</v>
      </c>
      <c r="C94" s="77">
        <f>C29</f>
        <v>12268</v>
      </c>
      <c r="D94" s="160">
        <f>C94/C91</f>
        <v>2.0144003021272054E-2</v>
      </c>
      <c r="E94" s="254"/>
      <c r="F94" s="253">
        <f>F91*D94</f>
        <v>12268</v>
      </c>
    </row>
    <row r="95" spans="2:8" ht="14" x14ac:dyDescent="0.15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4" x14ac:dyDescent="0.15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4" x14ac:dyDescent="0.15">
      <c r="B97" s="73" t="s">
        <v>173</v>
      </c>
      <c r="C97" s="77">
        <f>MAX(C30,0)/(1-C16)</f>
        <v>3776</v>
      </c>
      <c r="D97" s="160">
        <f>C97/C91</f>
        <v>6.2001756935379264E-3</v>
      </c>
      <c r="E97" s="254"/>
      <c r="F97" s="253">
        <f>F91*D97</f>
        <v>3776</v>
      </c>
    </row>
    <row r="98" spans="2:7" ht="14" x14ac:dyDescent="0.15">
      <c r="B98" s="86" t="s">
        <v>208</v>
      </c>
      <c r="C98" s="238">
        <f>C44</f>
        <v>3.1775700934579438</v>
      </c>
      <c r="D98" s="267"/>
      <c r="E98" s="255">
        <f>F98</f>
        <v>3.1775700934579438</v>
      </c>
      <c r="F98" s="255">
        <f>C98</f>
        <v>3.1775700934579438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0" sqref="C1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15">
      <c r="B3" s="3" t="s">
        <v>195</v>
      </c>
      <c r="C3" s="276" t="str">
        <f>Inputs!C4</f>
        <v>0700.HK</v>
      </c>
      <c r="D3" s="277"/>
      <c r="E3" s="87"/>
      <c r="F3" s="3" t="s">
        <v>1</v>
      </c>
      <c r="G3" s="132">
        <v>400</v>
      </c>
      <c r="H3" s="134" t="s">
        <v>2</v>
      </c>
    </row>
    <row r="4" spans="1:10" ht="15.75" customHeight="1" x14ac:dyDescent="0.15">
      <c r="B4" s="35" t="s">
        <v>196</v>
      </c>
      <c r="C4" s="278" t="str">
        <f>Inputs!C5</f>
        <v>騰訊控股</v>
      </c>
      <c r="D4" s="279"/>
      <c r="E4" s="87"/>
      <c r="F4" s="3" t="s">
        <v>3</v>
      </c>
      <c r="G4" s="282">
        <f>Inputs!C10</f>
        <v>9267407258</v>
      </c>
      <c r="H4" s="282"/>
      <c r="I4" s="39"/>
    </row>
    <row r="5" spans="1:10" ht="15.75" customHeight="1" x14ac:dyDescent="0.15">
      <c r="B5" s="3" t="s">
        <v>164</v>
      </c>
      <c r="C5" s="280">
        <f>Inputs!C6</f>
        <v>45624</v>
      </c>
      <c r="D5" s="281"/>
      <c r="E5" s="34"/>
      <c r="F5" s="35" t="s">
        <v>100</v>
      </c>
      <c r="G5" s="274">
        <f>G3*G4/1000000</f>
        <v>3706962.9032000001</v>
      </c>
      <c r="H5" s="274"/>
      <c r="I5" s="38"/>
      <c r="J5" s="28"/>
    </row>
    <row r="6" spans="1:10" ht="15.75" customHeight="1" x14ac:dyDescent="0.15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15">
      <c r="B7" s="86" t="s">
        <v>193</v>
      </c>
      <c r="C7" s="188" t="str">
        <f>Inputs!C8</f>
        <v>Tier 3</v>
      </c>
      <c r="D7" s="188" t="str">
        <f>Inputs!C9</f>
        <v>C0009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9" t="s">
        <v>191</v>
      </c>
      <c r="F9" s="143" t="s">
        <v>186</v>
      </c>
    </row>
    <row r="10" spans="1:10" ht="15.75" customHeight="1" x14ac:dyDescent="0.15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2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15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15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2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15">
      <c r="B17" s="87" t="s">
        <v>256</v>
      </c>
      <c r="C17" s="176">
        <v>7.1999999999999995E-2</v>
      </c>
      <c r="D17" s="177"/>
    </row>
    <row r="18" spans="1:8" ht="15.75" customHeight="1" x14ac:dyDescent="0.15"/>
    <row r="19" spans="1:8" ht="15.75" customHeight="1" x14ac:dyDescent="0.15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15">
      <c r="B20" s="137" t="s">
        <v>170</v>
      </c>
      <c r="C20" s="172">
        <f>Fin_Analysis!I75</f>
        <v>0.51871628777616319</v>
      </c>
      <c r="F20" s="87" t="s">
        <v>212</v>
      </c>
      <c r="G20" s="173">
        <v>0.15</v>
      </c>
    </row>
    <row r="21" spans="1:8" ht="15.75" customHeight="1" x14ac:dyDescent="0.15">
      <c r="B21" s="137" t="s">
        <v>245</v>
      </c>
      <c r="C21" s="172">
        <f>Fin_Analysis!I77</f>
        <v>0.22616191719415779</v>
      </c>
      <c r="F21" s="87"/>
      <c r="G21" s="29"/>
    </row>
    <row r="22" spans="1:8" ht="15.75" customHeight="1" x14ac:dyDescent="0.15">
      <c r="B22" s="137" t="s">
        <v>192</v>
      </c>
      <c r="C22" s="172">
        <f>Fin_Analysis!I78</f>
        <v>6.2001756935379264E-3</v>
      </c>
      <c r="F22" s="142" t="s">
        <v>185</v>
      </c>
    </row>
    <row r="23" spans="1:8" ht="15.75" customHeight="1" x14ac:dyDescent="0.15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3.7348668779673382</v>
      </c>
    </row>
    <row r="24" spans="1:8" ht="15.75" customHeight="1" x14ac:dyDescent="0.15">
      <c r="B24" s="137" t="s">
        <v>171</v>
      </c>
      <c r="C24" s="172">
        <f>Fin_Analysis!I81</f>
        <v>2.0144003021272054E-2</v>
      </c>
      <c r="F24" s="140" t="s">
        <v>260</v>
      </c>
      <c r="G24" s="269">
        <f>G3/(Fin_Analysis!H86*G7)</f>
        <v>33.153675223409998</v>
      </c>
    </row>
    <row r="25" spans="1:8" ht="15.75" customHeight="1" x14ac:dyDescent="0.15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0.28180623939898503</v>
      </c>
    </row>
    <row r="26" spans="1:8" ht="15.75" customHeight="1" x14ac:dyDescent="0.15">
      <c r="B26" s="138" t="s">
        <v>174</v>
      </c>
      <c r="C26" s="172">
        <f>Fin_Analysis!I83</f>
        <v>0.22877761631486909</v>
      </c>
      <c r="F26" s="141" t="s">
        <v>194</v>
      </c>
      <c r="G26" s="179">
        <f>Fin_Analysis!H88*Exchange_Rate/G3</f>
        <v>8.5000000000000006E-3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15">
      <c r="B29" s="87" t="s">
        <v>169</v>
      </c>
      <c r="C29" s="130">
        <f>IF(Fin_Analysis!C108="Profit",Fin_Analysis!D100,IF(Fin_Analysis!C108="Dividend",Fin_Analysis!D103,Fin_Analysis!D106))</f>
        <v>57.631563687635705</v>
      </c>
      <c r="D29" s="129">
        <f>G29*(1+G20)</f>
        <v>124.74017366739427</v>
      </c>
      <c r="E29" s="87"/>
      <c r="F29" s="131">
        <f>IF(Fin_Analysis!C108="Profit",Fin_Analysis!F100,IF(Fin_Analysis!C108="Dividend",Fin_Analysis!F103,Fin_Analysis!F106))</f>
        <v>67.801839632512596</v>
      </c>
      <c r="G29" s="273">
        <f>IF(Fin_Analysis!C108="Profit",Fin_Analysis!I100,IF(Fin_Analysis!C108="Dividend",Fin_Analysis!I103,Fin_Analysis!I106))</f>
        <v>108.46971623251677</v>
      </c>
      <c r="H29" s="273"/>
    </row>
    <row r="30" spans="1:8" ht="15.75" customHeight="1" x14ac:dyDescent="0.15"/>
    <row r="31" spans="1:8" ht="15.75" customHeight="1" x14ac:dyDescent="0.2">
      <c r="A31" s="5"/>
      <c r="B31" s="6" t="s">
        <v>223</v>
      </c>
      <c r="C31"/>
    </row>
    <row r="32" spans="1:8" ht="15.75" customHeight="1" x14ac:dyDescent="0.15">
      <c r="A32"/>
      <c r="B32" s="197" t="s">
        <v>224</v>
      </c>
      <c r="C32" s="225"/>
    </row>
    <row r="33" spans="1:3" ht="15.75" customHeight="1" x14ac:dyDescent="0.15">
      <c r="A33"/>
      <c r="B33" s="20" t="s">
        <v>225</v>
      </c>
      <c r="C33" s="246" t="str">
        <f>Inputs!C17</f>
        <v>agree</v>
      </c>
    </row>
    <row r="34" spans="1:3" ht="15.75" customHeight="1" x14ac:dyDescent="0.15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15">
      <c r="A35"/>
      <c r="B35" s="197" t="s">
        <v>227</v>
      </c>
      <c r="C35" s="225"/>
    </row>
    <row r="36" spans="1:3" ht="15.75" customHeight="1" x14ac:dyDescent="0.15">
      <c r="A36"/>
      <c r="B36" s="20" t="s">
        <v>239</v>
      </c>
      <c r="C36" s="246" t="str">
        <f>Inputs!C18</f>
        <v>unclear</v>
      </c>
    </row>
    <row r="37" spans="1:3" ht="15.75" customHeight="1" x14ac:dyDescent="0.15">
      <c r="A37"/>
      <c r="B37" s="20" t="s">
        <v>240</v>
      </c>
      <c r="C37" s="246" t="str">
        <f>Inputs!C19</f>
        <v>unclear</v>
      </c>
    </row>
    <row r="38" spans="1:3" ht="15.75" customHeight="1" x14ac:dyDescent="0.15">
      <c r="A38"/>
      <c r="B38" s="197" t="s">
        <v>228</v>
      </c>
      <c r="C38" s="225"/>
    </row>
    <row r="39" spans="1:3" ht="15.75" customHeight="1" x14ac:dyDescent="0.15">
      <c r="A39"/>
      <c r="B39" s="19" t="s">
        <v>229</v>
      </c>
      <c r="C39" s="246" t="str">
        <f>Inputs!C20</f>
        <v>unclear</v>
      </c>
    </row>
    <row r="40" spans="1:3" ht="15.75" customHeight="1" x14ac:dyDescent="0.15">
      <c r="A40"/>
      <c r="B40" s="1" t="s">
        <v>232</v>
      </c>
      <c r="C40" s="246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230</v>
      </c>
      <c r="C42"/>
    </row>
    <row r="43" spans="1:3" ht="70" x14ac:dyDescent="0.15">
      <c r="A43"/>
      <c r="B43" s="227" t="s">
        <v>231</v>
      </c>
      <c r="C43" s="245" t="str">
        <f>Inputs!C22</f>
        <v>Consumer Monopoly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1">
        <f>IF(Inputs!C25=""," ",Inputs!C25)</f>
        <v>609015</v>
      </c>
      <c r="D6" s="201">
        <f>IF(Inputs!D25="","",Inputs!D25)</f>
        <v>554552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0">
        <f>IF(Inputs!C26="","",Inputs!C26)</f>
        <v>315906</v>
      </c>
      <c r="D8" s="200">
        <f>IF(Inputs!D26="","",Inputs!D26)</f>
        <v>315806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2">
        <f t="shared" ref="C9:M9" si="2">IF(C6="","",(C6-C8))</f>
        <v>293109</v>
      </c>
      <c r="D9" s="152">
        <f t="shared" si="2"/>
        <v>238746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0">
        <f>IF(Inputs!C27="","",Inputs!C27)</f>
        <v>137736</v>
      </c>
      <c r="D10" s="200">
        <f>IF(Inputs!D27="","",Inputs!D27)</f>
        <v>135925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15">
      <c r="A12" s="4"/>
      <c r="B12" s="99" t="s">
        <v>241</v>
      </c>
      <c r="C12" s="200">
        <f>IF(Inputs!C30="","",MAX(Inputs!C30,0)/(1-Fin_Analysis!$I$84))</f>
        <v>3776</v>
      </c>
      <c r="D12" s="200">
        <f>IF(Inputs!D30="","",MAX(Inputs!D30,0)/(1-Fin_Analysis!$I$84))</f>
        <v>621.33333333333337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15">
      <c r="A13" s="4"/>
      <c r="B13" s="229" t="s">
        <v>242</v>
      </c>
      <c r="C13" s="230">
        <f t="shared" ref="C13:M13" si="3">IF(C14="","",C14/C6)</f>
        <v>0.24892161933614115</v>
      </c>
      <c r="D13" s="230">
        <f t="shared" si="3"/>
        <v>0.18429230562087356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15">
      <c r="A14" s="4"/>
      <c r="B14" s="229" t="s">
        <v>234</v>
      </c>
      <c r="C14" s="231">
        <f>IF(C6="","",C9-C10-MAX(C11,0)-MAX(C12,0))</f>
        <v>151597</v>
      </c>
      <c r="D14" s="231">
        <f t="shared" ref="D14:M14" si="4">IF(D6="","",D9-D10-MAX(D11,0)-MAX(D12,0))</f>
        <v>102199.66666666667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15">
      <c r="A15" s="4"/>
      <c r="B15" s="232" t="s">
        <v>243</v>
      </c>
      <c r="C15" s="233">
        <f>IF(D14="","",IF(ABS(C14+D14)=ABS(C14)+ABS(D14),IF(C14&lt;0,-1,1)*(C14-D14)/D14,"Turn"))</f>
        <v>0.48334143294661752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15">
      <c r="A17" s="4"/>
      <c r="B17" s="97" t="s">
        <v>258</v>
      </c>
      <c r="C17" s="200">
        <f>IF(Inputs!C29="","",Inputs!C29)</f>
        <v>12268</v>
      </c>
      <c r="D17" s="200">
        <f>IF(Inputs!D29="","",Inputs!D29)</f>
        <v>9352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15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2">
        <f>IF(C6="","",C14-MAX(C16,0)-MAX(C17,0)-ABS(MAX(C21,0)-MAX(C19,0)))</f>
        <v>139329</v>
      </c>
      <c r="D22" s="162">
        <f t="shared" ref="D22:M22" si="8">IF(D6="","",D14-MAX(D16,0)-MAX(D17,0)-ABS(MAX(D21,0)-MAX(D19,0)))</f>
        <v>92847.666666666672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4">
        <f t="shared" ref="C23:M23" si="9">IF(C6="","",C24/C6)</f>
        <v>0.17158321223615181</v>
      </c>
      <c r="D23" s="154">
        <f t="shared" si="9"/>
        <v>0.12557118178277241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5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5" t="s">
        <v>129</v>
      </c>
      <c r="C25" s="234">
        <f>IF(D24="","",IF(ABS(C24+D24)=ABS(C24)+ABS(D24),IF(C24&lt;0,-1,1)*(C24-D24)/D24,"Turn"))</f>
        <v>0.50061929396897431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15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521641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52250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4387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387826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339547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58461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254499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927597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66916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1152511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6">
        <f>IF(C6="","",C14/MAX(C39,0))</f>
        <v>0.30171018928907634</v>
      </c>
      <c r="D40" s="156">
        <f>IF(D6="","",D14/MAX(D39,0))</f>
        <v>6.2984808450164782E-3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15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7">
        <f t="shared" ref="C42:M42" si="34">IF(C6="","",C8/C6)</f>
        <v>0.51871628777616319</v>
      </c>
      <c r="D42" s="157">
        <f t="shared" si="34"/>
        <v>0.56947950778285894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15">
      <c r="A43" s="4"/>
      <c r="B43" s="94" t="s">
        <v>235</v>
      </c>
      <c r="C43" s="154">
        <f t="shared" ref="C43:M43" si="35">IF(C6="","",(C10+MAX(C11,0))/C6)</f>
        <v>0.22616191719415779</v>
      </c>
      <c r="D43" s="154">
        <f t="shared" si="35"/>
        <v>0.2451077626624735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4">
        <f t="shared" ref="C45:M45" si="37">IF(C6="","",MAX(C17,0)/C6)</f>
        <v>2.0144003021272054E-2</v>
      </c>
      <c r="D45" s="154">
        <f t="shared" si="37"/>
        <v>1.686406324384368E-2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54">
        <f>IF(C6="","",MAX(C12,0)/C6)</f>
        <v>6.2001756935379264E-3</v>
      </c>
      <c r="D46" s="154">
        <f t="shared" ref="D46:M46" si="38">IF(D6="","",MAX(D12,0)/D6)</f>
        <v>1.1204239337940056E-3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15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54">
        <f t="shared" ref="C48:M48" si="40">IF(C6="","",C22/C6)</f>
        <v>0.22877761631486909</v>
      </c>
      <c r="D48" s="154">
        <f t="shared" si="40"/>
        <v>0.16742824237702988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7">
        <f t="shared" ref="C50:M50" si="41">IF(C29="","",C29/C6)</f>
        <v>8.5794274361058437E-2</v>
      </c>
      <c r="D50" s="157">
        <f t="shared" si="41"/>
        <v>0.77753574056175079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54">
        <f t="shared" ref="C51:M51" si="42">IF(C30="","",C30/C6)</f>
        <v>7.2034350549658056E-3</v>
      </c>
      <c r="D51" s="154">
        <f t="shared" si="42"/>
        <v>4.071861610813774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7">
        <f>IF(C36="","",(C27-C36)/C27)</f>
        <v>0.43950826903206702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15">
      <c r="A54" s="4"/>
      <c r="B54" s="94" t="s">
        <v>121</v>
      </c>
      <c r="C54" s="158">
        <f t="shared" ref="C54:M54" si="44">IF(OR(C22="",C35=""),"",IF(C35&lt;=0,"-",C22/C35))</f>
        <v>0.44519746932515336</v>
      </c>
      <c r="D54" s="158">
        <f t="shared" si="44"/>
        <v>5.6738563800966181E-2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15">
      <c r="A55" s="4"/>
      <c r="B55" s="94" t="s">
        <v>123</v>
      </c>
      <c r="C55" s="154">
        <f t="shared" ref="C55:M55" si="45">IF(C22="","",IF(MAX(C17,0)&lt;=0,"-",C17/C22))</f>
        <v>8.8050585305284618E-2</v>
      </c>
      <c r="D55" s="154">
        <f t="shared" si="45"/>
        <v>0.10072412517995426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15">
      <c r="A56" s="4"/>
      <c r="B56" s="98" t="s">
        <v>21</v>
      </c>
      <c r="C56" s="159">
        <f t="shared" ref="C56:M56" si="46">IF(C28="","",C28/C31)</f>
        <v>1.3450387544929943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I100" sqref="I10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860681</v>
      </c>
      <c r="K3" s="24"/>
    </row>
    <row r="4" spans="1:11" ht="15" customHeight="1" x14ac:dyDescent="0.15">
      <c r="B4" s="3" t="s">
        <v>25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1.3450387544929943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-267470.14914648677</v>
      </c>
      <c r="E6" s="56">
        <f>1-D6/D3</f>
        <v>1.2883473632908329</v>
      </c>
      <c r="F6" s="87"/>
      <c r="G6" s="87"/>
      <c r="H6" s="1" t="s">
        <v>30</v>
      </c>
      <c r="I6" s="63">
        <f>(C24+C25)/I28</f>
        <v>1.3337269806562737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1.080311789307576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353601</v>
      </c>
      <c r="D11" s="199">
        <f>Inputs!D48</f>
        <v>0.9</v>
      </c>
      <c r="E11" s="88">
        <f t="shared" ref="E11:E22" si="0">C11*D11</f>
        <v>318240.90000000002</v>
      </c>
      <c r="F11" s="112"/>
      <c r="G11" s="87"/>
      <c r="H11" s="3" t="s">
        <v>39</v>
      </c>
      <c r="I11" s="40">
        <f>Inputs!C73</f>
        <v>52462</v>
      </c>
      <c r="J11" s="87"/>
      <c r="K11" s="24"/>
    </row>
    <row r="12" spans="1:11" ht="14" x14ac:dyDescent="0.15">
      <c r="B12" s="1" t="s">
        <v>136</v>
      </c>
      <c r="C12" s="40">
        <f>Inputs!C49</f>
        <v>3408</v>
      </c>
      <c r="D12" s="199">
        <f>Inputs!D49</f>
        <v>0.8</v>
      </c>
      <c r="E12" s="88">
        <f t="shared" si="0"/>
        <v>2726.4</v>
      </c>
      <c r="F12" s="112"/>
      <c r="G12" s="87"/>
      <c r="H12" s="3" t="s">
        <v>40</v>
      </c>
      <c r="I12" s="40">
        <f>Inputs!C74</f>
        <v>5999</v>
      </c>
      <c r="J12" s="87"/>
      <c r="K12" s="24"/>
    </row>
    <row r="13" spans="1:11" ht="14" x14ac:dyDescent="0.15">
      <c r="B13" s="3" t="s">
        <v>117</v>
      </c>
      <c r="C13" s="40">
        <f>Inputs!C50</f>
        <v>52250</v>
      </c>
      <c r="D13" s="199">
        <f>Inputs!D50</f>
        <v>0.6</v>
      </c>
      <c r="E13" s="88">
        <f t="shared" si="0"/>
        <v>31350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9714</v>
      </c>
      <c r="D14" s="199">
        <f>Inputs!D51</f>
        <v>0.6</v>
      </c>
      <c r="E14" s="88">
        <f t="shared" si="0"/>
        <v>5828.4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5437</v>
      </c>
      <c r="D15" s="199">
        <f>Inputs!D52</f>
        <v>0.5</v>
      </c>
      <c r="E15" s="88">
        <f t="shared" si="0"/>
        <v>2718.5</v>
      </c>
      <c r="F15" s="112"/>
      <c r="G15" s="87"/>
      <c r="H15" s="1" t="s">
        <v>54</v>
      </c>
      <c r="I15" s="84">
        <f>SUM(I11:I14)</f>
        <v>58461</v>
      </c>
      <c r="J15" s="87"/>
    </row>
    <row r="16" spans="1:11" ht="14" x14ac:dyDescent="0.15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92844</v>
      </c>
      <c r="D17" s="199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4387</v>
      </c>
      <c r="D18" s="199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329365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15">
      <c r="B25" s="23" t="s">
        <v>55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56</v>
      </c>
      <c r="I25" s="63">
        <f>E28/I28</f>
        <v>0.96007513678814749</v>
      </c>
    </row>
    <row r="26" spans="2:10" ht="15" customHeight="1" x14ac:dyDescent="0.15">
      <c r="B26" s="23" t="s">
        <v>57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58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15">
      <c r="B28" s="78" t="s">
        <v>15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16</v>
      </c>
      <c r="I28" s="207">
        <f>Inputs!C77</f>
        <v>387826</v>
      </c>
      <c r="J28" s="32">
        <f>IF(J26="",1,0)+IF(J27="",1,0)+IF(J46="",1,0)+IF(J47="",1,0)</f>
        <v>4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51490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152946</v>
      </c>
      <c r="J30" s="87"/>
    </row>
    <row r="31" spans="2:10" ht="15" customHeight="1" x14ac:dyDescent="0.15">
      <c r="B31" s="3" t="s">
        <v>63</v>
      </c>
      <c r="C31" s="40">
        <f>Inputs!C61</f>
        <v>460284</v>
      </c>
      <c r="D31" s="199">
        <f>Inputs!D61</f>
        <v>0.6</v>
      </c>
      <c r="E31" s="88">
        <f t="shared" ref="E31:E42" si="1">C31*D31</f>
        <v>276170.39999999997</v>
      </c>
      <c r="F31" s="112"/>
      <c r="G31" s="87"/>
      <c r="H31" s="3" t="s">
        <v>64</v>
      </c>
      <c r="I31" s="40">
        <f>Inputs!C79</f>
        <v>14979</v>
      </c>
      <c r="J31" s="87"/>
    </row>
    <row r="32" spans="2:10" ht="15" customHeight="1" x14ac:dyDescent="0.15">
      <c r="B32" s="3" t="s">
        <v>65</v>
      </c>
      <c r="C32" s="40">
        <f>Inputs!C62</f>
        <v>1144</v>
      </c>
      <c r="D32" s="199">
        <f>Inputs!D62</f>
        <v>0.5</v>
      </c>
      <c r="E32" s="88">
        <f t="shared" si="1"/>
        <v>572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86574</v>
      </c>
      <c r="J33" s="87"/>
    </row>
    <row r="34" spans="2:10" ht="14" x14ac:dyDescent="0.15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254499</v>
      </c>
      <c r="J34" s="87"/>
    </row>
    <row r="35" spans="2:10" ht="14" x14ac:dyDescent="0.15">
      <c r="B35" s="3" t="s">
        <v>70</v>
      </c>
      <c r="C35" s="40">
        <f>Inputs!C65</f>
        <v>270182</v>
      </c>
      <c r="D35" s="199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659</v>
      </c>
      <c r="D36" s="199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13463</v>
      </c>
      <c r="D37" s="199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127220</v>
      </c>
      <c r="D38" s="199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177621</v>
      </c>
      <c r="D40" s="199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31266</v>
      </c>
      <c r="D41" s="199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85048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81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83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85</v>
      </c>
      <c r="I48" s="208">
        <f>Inputs!C82</f>
        <v>339547</v>
      </c>
      <c r="J48" s="8"/>
    </row>
    <row r="49" spans="2:11" ht="15" customHeight="1" thickTop="1" x14ac:dyDescent="0.15">
      <c r="B49" s="3" t="s">
        <v>14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86</v>
      </c>
      <c r="I49" s="52">
        <f>I28+I48</f>
        <v>727373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66916</v>
      </c>
      <c r="D53" s="29">
        <f>IF(E53=0, 0,E53/C53)</f>
        <v>3.7348668779673382</v>
      </c>
      <c r="E53" s="88">
        <f>IF(C53=0,0,MAX(C53,C53*Dashboard!G23))</f>
        <v>249922.3520060624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3">
        <f>I15+I34</f>
        <v>312960</v>
      </c>
      <c r="E56" s="28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4" x14ac:dyDescent="0.15">
      <c r="B62" s="35" t="s">
        <v>140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thickBot="1" x14ac:dyDescent="0.2">
      <c r="B64" s="121" t="s">
        <v>152</v>
      </c>
      <c r="C64" s="209"/>
      <c r="D64" s="209"/>
      <c r="E64" s="69">
        <f>D56+D57+D58</f>
        <v>312960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thickBot="1" x14ac:dyDescent="0.2">
      <c r="B69" s="121" t="s">
        <v>153</v>
      </c>
      <c r="C69" s="209"/>
      <c r="D69" s="209"/>
      <c r="E69" s="126">
        <f>I49-E64</f>
        <v>414413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15">
      <c r="B74" s="3" t="s">
        <v>127</v>
      </c>
      <c r="C74" s="77">
        <f>Data!C6</f>
        <v>609015</v>
      </c>
      <c r="D74" s="210"/>
      <c r="E74" s="239">
        <f>Inputs!E91</f>
        <v>609015</v>
      </c>
      <c r="F74" s="210"/>
      <c r="H74" s="239">
        <f>Inputs!F91</f>
        <v>609015</v>
      </c>
      <c r="I74" s="210"/>
      <c r="K74" s="24"/>
    </row>
    <row r="75" spans="1:11" ht="15" customHeight="1" x14ac:dyDescent="0.15">
      <c r="B75" s="104" t="s">
        <v>106</v>
      </c>
      <c r="C75" s="77">
        <f>Data!C8</f>
        <v>315906</v>
      </c>
      <c r="D75" s="160">
        <f>C75/$C$74</f>
        <v>0.51871628777616319</v>
      </c>
      <c r="E75" s="239">
        <f>Inputs!E92</f>
        <v>315906</v>
      </c>
      <c r="F75" s="161">
        <f>E75/E74</f>
        <v>0.51871628777616319</v>
      </c>
      <c r="H75" s="239">
        <f>Inputs!F92</f>
        <v>315906</v>
      </c>
      <c r="I75" s="161">
        <f>H75/$H$74</f>
        <v>0.51871628777616319</v>
      </c>
      <c r="K75" s="24"/>
    </row>
    <row r="76" spans="1:11" ht="15" customHeight="1" x14ac:dyDescent="0.15">
      <c r="B76" s="35" t="s">
        <v>96</v>
      </c>
      <c r="C76" s="162">
        <f>C74-C75</f>
        <v>293109</v>
      </c>
      <c r="D76" s="211"/>
      <c r="E76" s="163">
        <f>E74-E75</f>
        <v>293109</v>
      </c>
      <c r="F76" s="211"/>
      <c r="H76" s="163">
        <f>H74-H75</f>
        <v>293109</v>
      </c>
      <c r="I76" s="211"/>
      <c r="K76" s="24"/>
    </row>
    <row r="77" spans="1:11" ht="15" customHeight="1" x14ac:dyDescent="0.15">
      <c r="B77" s="104" t="s">
        <v>248</v>
      </c>
      <c r="C77" s="77">
        <f>Data!C10+MAX(Data!C11,0)</f>
        <v>137736</v>
      </c>
      <c r="D77" s="160">
        <f>C77/$C$74</f>
        <v>0.22616191719415779</v>
      </c>
      <c r="E77" s="239">
        <f>Inputs!E93</f>
        <v>137736</v>
      </c>
      <c r="F77" s="161">
        <f>E77/E74</f>
        <v>0.22616191719415779</v>
      </c>
      <c r="H77" s="239">
        <f>Inputs!F93</f>
        <v>137736</v>
      </c>
      <c r="I77" s="161">
        <f>H77/$H$74</f>
        <v>0.22616191719415779</v>
      </c>
      <c r="K77" s="24"/>
    </row>
    <row r="78" spans="1:11" ht="15" customHeight="1" x14ac:dyDescent="0.15">
      <c r="B78" s="73" t="s">
        <v>173</v>
      </c>
      <c r="C78" s="77">
        <f>MAX(Data!C12,0)</f>
        <v>3776</v>
      </c>
      <c r="D78" s="160">
        <f>C78/$C$74</f>
        <v>6.2001756935379264E-3</v>
      </c>
      <c r="E78" s="181">
        <f>E74*F78</f>
        <v>3776</v>
      </c>
      <c r="F78" s="161">
        <f>I78</f>
        <v>6.2001756935379264E-3</v>
      </c>
      <c r="H78" s="239">
        <f>Inputs!F97</f>
        <v>3776</v>
      </c>
      <c r="I78" s="161">
        <f>H78/$H$74</f>
        <v>6.2001756935379264E-3</v>
      </c>
      <c r="K78" s="24"/>
    </row>
    <row r="79" spans="1:11" ht="15" customHeight="1" x14ac:dyDescent="0.15">
      <c r="B79" s="257" t="s">
        <v>233</v>
      </c>
      <c r="C79" s="258">
        <f>C76-C77-C78</f>
        <v>151597</v>
      </c>
      <c r="D79" s="259">
        <f>C79/C74</f>
        <v>0.24892161933614115</v>
      </c>
      <c r="E79" s="260">
        <f>E76-E77-E78</f>
        <v>151597</v>
      </c>
      <c r="F79" s="259">
        <f>E79/E74</f>
        <v>0.24892161933614115</v>
      </c>
      <c r="G79" s="261"/>
      <c r="H79" s="260">
        <f>H76-H77-H78</f>
        <v>151597</v>
      </c>
      <c r="I79" s="259">
        <f>H79/H74</f>
        <v>0.24892161933614115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15">
      <c r="B81" s="104" t="s">
        <v>258</v>
      </c>
      <c r="C81" s="77">
        <f>MAX(Data!C17,0)</f>
        <v>12268</v>
      </c>
      <c r="D81" s="160">
        <f>C81/$C$74</f>
        <v>2.0144003021272054E-2</v>
      </c>
      <c r="E81" s="181">
        <f>E74*F81</f>
        <v>12268</v>
      </c>
      <c r="F81" s="161">
        <f>I81</f>
        <v>2.0144003021272054E-2</v>
      </c>
      <c r="H81" s="239">
        <f>Inputs!F94</f>
        <v>12268</v>
      </c>
      <c r="I81" s="161">
        <f>H81/$H$74</f>
        <v>2.0144003021272054E-2</v>
      </c>
      <c r="K81" s="24"/>
    </row>
    <row r="82" spans="1:11" ht="15" customHeight="1" x14ac:dyDescent="0.15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2">
      <c r="B83" s="105" t="s">
        <v>126</v>
      </c>
      <c r="C83" s="164">
        <f>C79-C81-C82-C80</f>
        <v>139329</v>
      </c>
      <c r="D83" s="165">
        <f>C83/$C$74</f>
        <v>0.22877761631486909</v>
      </c>
      <c r="E83" s="166">
        <f>E79-E81-E82-E80</f>
        <v>139329</v>
      </c>
      <c r="F83" s="165">
        <f>E83/E74</f>
        <v>0.22877761631486909</v>
      </c>
      <c r="H83" s="166">
        <f>H79-H81-H82-H80</f>
        <v>139329</v>
      </c>
      <c r="I83" s="165">
        <f>H83/$H$74</f>
        <v>0.22877761631486909</v>
      </c>
      <c r="K83" s="24"/>
    </row>
    <row r="84" spans="1:11" ht="15" customHeight="1" thickTop="1" x14ac:dyDescent="0.15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15">
      <c r="B85" s="264" t="s">
        <v>165</v>
      </c>
      <c r="C85" s="258">
        <f>C83*(1-I84)</f>
        <v>104496.75</v>
      </c>
      <c r="D85" s="259">
        <f>C85/$C$74</f>
        <v>0.17158321223615181</v>
      </c>
      <c r="E85" s="265">
        <f>E83*(1-F84)</f>
        <v>104496.75</v>
      </c>
      <c r="F85" s="259">
        <f>E85/E74</f>
        <v>0.17158321223615181</v>
      </c>
      <c r="G85" s="261"/>
      <c r="H85" s="265">
        <f>H83*(1-I84)</f>
        <v>104496.75</v>
      </c>
      <c r="I85" s="259">
        <f>H85/$H$74</f>
        <v>0.17158321223615181</v>
      </c>
      <c r="K85" s="24"/>
    </row>
    <row r="86" spans="1:11" ht="15" customHeight="1" x14ac:dyDescent="0.15">
      <c r="B86" s="87" t="s">
        <v>161</v>
      </c>
      <c r="C86" s="168">
        <f>C85*Data!C4/Common_Shares</f>
        <v>11.275726542587647</v>
      </c>
      <c r="D86" s="210"/>
      <c r="E86" s="169">
        <f>E85*Data!C4/Common_Shares</f>
        <v>11.275726542587647</v>
      </c>
      <c r="F86" s="210"/>
      <c r="H86" s="169">
        <f>H85*Data!C4/Common_Shares</f>
        <v>11.275726542587647</v>
      </c>
      <c r="I86" s="210"/>
      <c r="K86" s="24"/>
    </row>
    <row r="87" spans="1:11" ht="15" customHeight="1" x14ac:dyDescent="0.15">
      <c r="B87" s="87" t="s">
        <v>209</v>
      </c>
      <c r="C87" s="262">
        <f>C86*Exchange_Rate/Dashboard!G3</f>
        <v>3.0162568501421957E-2</v>
      </c>
      <c r="D87" s="210"/>
      <c r="E87" s="263">
        <f>E86*Exchange_Rate/Dashboard!G3</f>
        <v>3.0162568501421957E-2</v>
      </c>
      <c r="F87" s="210"/>
      <c r="H87" s="263">
        <f>H86*Exchange_Rate/Dashboard!G3</f>
        <v>3.0162568501421957E-2</v>
      </c>
      <c r="I87" s="210"/>
      <c r="K87" s="24"/>
    </row>
    <row r="88" spans="1:11" ht="15" customHeight="1" x14ac:dyDescent="0.15">
      <c r="B88" s="86" t="s">
        <v>208</v>
      </c>
      <c r="C88" s="170">
        <f>Inputs!C44</f>
        <v>3.1775700934579438</v>
      </c>
      <c r="D88" s="167">
        <f>C88/C86</f>
        <v>0.28180623939898503</v>
      </c>
      <c r="E88" s="171">
        <f>Inputs!E98</f>
        <v>3.1775700934579438</v>
      </c>
      <c r="F88" s="167">
        <f>E88/E86</f>
        <v>0.28180623939898503</v>
      </c>
      <c r="H88" s="171">
        <f>Inputs!F98</f>
        <v>3.1775700934579438</v>
      </c>
      <c r="I88" s="167">
        <f>H88/H86</f>
        <v>0.28180623939898503</v>
      </c>
      <c r="K88" s="24"/>
    </row>
    <row r="89" spans="1:11" ht="15" customHeight="1" x14ac:dyDescent="0.15">
      <c r="B89" s="87" t="s">
        <v>222</v>
      </c>
      <c r="C89" s="262">
        <f>C88*Exchange_Rate/Dashboard!G3</f>
        <v>8.5000000000000006E-3</v>
      </c>
      <c r="D89" s="210"/>
      <c r="E89" s="262">
        <f>E88*Exchange_Rate/Dashboard!G3</f>
        <v>8.5000000000000006E-3</v>
      </c>
      <c r="F89" s="210"/>
      <c r="H89" s="262">
        <f>H88*Exchange_Rate/Dashboard!G3</f>
        <v>8.5000000000000006E-3</v>
      </c>
      <c r="I89" s="210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15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194.41270533222331</v>
      </c>
      <c r="H93" s="87" t="s">
        <v>210</v>
      </c>
      <c r="I93" s="144">
        <f>FV(H87,D93,0,-(H86/C93))*Exchange_Rate</f>
        <v>194.41270533222331</v>
      </c>
      <c r="K93" s="24"/>
    </row>
    <row r="94" spans="1:11" ht="15" customHeight="1" x14ac:dyDescent="0.15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49.263575960304472</v>
      </c>
      <c r="H94" s="87" t="s">
        <v>211</v>
      </c>
      <c r="I94" s="144">
        <f>FV(H89,D93,0,-(H88/C93))*Exchange_Rate</f>
        <v>49.263575960304472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15">
      <c r="B97" s="1" t="s">
        <v>131</v>
      </c>
      <c r="C97" s="91">
        <f>H97*Common_Shares/Data!C4</f>
        <v>895764.17736258602</v>
      </c>
      <c r="D97" s="214"/>
      <c r="E97" s="123">
        <f>PV(C94,D93,0,-F93)</f>
        <v>96.657474137583222</v>
      </c>
      <c r="F97" s="214"/>
      <c r="H97" s="123">
        <f>PV(C94,D93,0,-I93)</f>
        <v>96.657474137583222</v>
      </c>
      <c r="I97" s="123">
        <f>PV(C93,D93,0,-I93)</f>
        <v>137.3253507375874</v>
      </c>
      <c r="K97" s="24"/>
    </row>
    <row r="98" spans="2:11" ht="15" customHeight="1" x14ac:dyDescent="0.15">
      <c r="B98" s="28" t="s">
        <v>145</v>
      </c>
      <c r="C98" s="91">
        <f>E53*Exchange_Rate</f>
        <v>267416.91664648679</v>
      </c>
      <c r="D98" s="214"/>
      <c r="E98" s="214"/>
      <c r="F98" s="214"/>
      <c r="H98" s="123">
        <f>C98*Data!$C$4/Common_Shares</f>
        <v>28.855634505070629</v>
      </c>
      <c r="I98" s="216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15">
      <c r="B100" s="1" t="s">
        <v>115</v>
      </c>
      <c r="C100" s="91">
        <f>C97-C98+$C$99</f>
        <v>628347.26071609929</v>
      </c>
      <c r="D100" s="109">
        <f>MIN(F100*(1-C94),E100)</f>
        <v>57.631563687635705</v>
      </c>
      <c r="E100" s="109">
        <f>MAX(E97-H98+E99,0)</f>
        <v>67.801839632512596</v>
      </c>
      <c r="F100" s="109">
        <f>(E100+H100)/2</f>
        <v>67.801839632512596</v>
      </c>
      <c r="H100" s="109">
        <f>MAX(C100*Data!$C$4/Common_Shares,0)</f>
        <v>67.801839632512596</v>
      </c>
      <c r="I100" s="109">
        <f>MAX(I97-H98+H99,0)</f>
        <v>108.46971623251677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226983.86156713407</v>
      </c>
      <c r="D103" s="109">
        <f>MIN(F103*(1-C94),E103)</f>
        <v>20.81879828530397</v>
      </c>
      <c r="E103" s="123">
        <f>PV(C94,D93,0,-F94)</f>
        <v>24.492703865063493</v>
      </c>
      <c r="F103" s="109">
        <f>(E103+H103)/2</f>
        <v>24.492703865063493</v>
      </c>
      <c r="H103" s="123">
        <f>PV(C94,D93,0,-I94)</f>
        <v>24.492703865063493</v>
      </c>
      <c r="I103" s="109">
        <f>PV(C93,D93,0,-I94)</f>
        <v>34.797817538601421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15">
      <c r="B106" s="1" t="s">
        <v>199</v>
      </c>
      <c r="C106" s="91">
        <f>E106*Common_Shares/Data!C4</f>
        <v>427665.56114161666</v>
      </c>
      <c r="D106" s="109">
        <f>(D100+D103)/2</f>
        <v>39.225180986469837</v>
      </c>
      <c r="E106" s="123">
        <f>(E100+E103)/2</f>
        <v>46.147271748788043</v>
      </c>
      <c r="F106" s="109">
        <f>(F100+F103)/2</f>
        <v>46.147271748788043</v>
      </c>
      <c r="H106" s="123">
        <f>(H100+H103)/2</f>
        <v>46.147271748788043</v>
      </c>
      <c r="I106" s="123">
        <f>(I100+I103)/2</f>
        <v>71.633766885559098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2024-11-29T16:30:18Z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