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13_ncr:1_{752B1A80-5049-654D-997B-E24E50BCC3E8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44" i="4" l="1"/>
  <c r="C44" i="4"/>
  <c r="D43" i="4"/>
  <c r="D40" i="4"/>
  <c r="D39" i="4"/>
  <c r="D35" i="4"/>
  <c r="E27" i="4"/>
  <c r="D27" i="4"/>
  <c r="C27" i="4"/>
  <c r="C7" i="1" l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E93" i="4"/>
  <c r="F93" i="4"/>
  <c r="F92" i="4"/>
  <c r="H75" i="3" s="1"/>
  <c r="H77" i="3"/>
  <c r="E74" i="3"/>
  <c r="F97" i="4"/>
  <c r="H78" i="3" s="1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<sst xmlns="http://schemas.openxmlformats.org/spreadsheetml/2006/main" count="390" uniqueCount="267">
  <si>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</si>
  <si>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</si>
  <si>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</si>
  <si>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</si>
  <si>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</si>
  <si>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</si>
  <si>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</si>
  <si>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</si>
  <si>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</si>
  <si>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</si>
  <si>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</si>
  <si>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</si>
  <si>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</si>
  <si>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</si>
  <si>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</si>
  <si>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</si>
  <si>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</si>
  <si>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</si>
  <si>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</si>
  <si>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</si>
  <si>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</si>
  <si>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</si>
  <si>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</si>
  <si>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</si>
  <si>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</si>
  <si>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</si>
  <si>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</si>
  <si>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</si>
  <si>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</si>
  <si>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</si>
  <si>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</si>
  <si>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</si>
  <si>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</si>
  <si>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</si>
  <si>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</si>
  <si>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</si>
  <si>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</si>
  <si>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</si>
  <si>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</si>
  <si>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</si>
  <si>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</si>
  <si>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</si>
  <si>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</si>
  <si>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</si>
  <si>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</si>
  <si>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</si>
  <si>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</si>
  <si>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</si>
  <si>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</si>
  <si>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</si>
  <si>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</si>
  <si>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</si>
  <si>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</si>
  <si>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</si>
  <si>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</si>
  <si>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</si>
  <si>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</si>
  <si>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</si>
  <si>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</si>
  <si>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</si>
  <si>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</si>
  <si>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</si>
  <si>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</si>
  <si>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</si>
  <si>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</si>
  <si>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</si>
  <si>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</si>
  <si>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</si>
  <si>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</si>
  <si>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</si>
  <si>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</si>
  <si>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</si>
  <si>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</si>
  <si>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</si>
  <si>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</si>
  <si>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</si>
  <si>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</si>
  <si>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</si>
  <si>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</si>
  <si>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</si>
  <si>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</si>
  <si>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</si>
  <si>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</si>
  <si>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</si>
  <si>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</si>
  <si>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</si>
  <si>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</si>
  <si>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</si>
  <si>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</si>
  <si>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</si>
  <si>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</si>
  <si>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</si>
  <si>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</si>
  <si>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</si>
  <si>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</si>
  <si>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</si>
  <si>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</si>
  <si>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</si>
  <si>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</si>
  <si>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</si>
  <si>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</si>
  <si>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</si>
  <si>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</si>
  <si>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</si>
  <si>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</si>
  <si>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</si>
  <si>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</si>
  <si>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</si>
  <si>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</si>
  <si>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</si>
  <si>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</si>
  <si>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</si>
  <si>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</si>
  <si>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</si>
  <si>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</si>
  <si>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</si>
  <si>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</si>
  <si>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</si>
  <si>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</si>
  <si>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</si>
  <si>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</si>
  <si>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</si>
  <si>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</si>
  <si>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</si>
  <si>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</si>
  <si>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</si>
  <si>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</si>
  <si>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</si>
  <si>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</si>
  <si>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</si>
  <si>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</si>
  <si>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</si>
  <si>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</si>
  <si>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</si>
  <si>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</si>
  <si>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</si>
  <si>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</si>
  <si>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</si>
  <si>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</si>
  <si>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</si>
  <si>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</si>
  <si>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</si>
  <si>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</si>
  <si>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</si>
  <si>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</si>
  <si>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</si>
  <si>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</si>
  <si>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</si>
  <si>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</si>
  <si>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</si>
  <si>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</si>
  <si>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</si>
  <si>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</si>
  <si>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</si>
  <si>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</si>
  <si>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</si>
  <si>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</si>
  <si>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</si>
  <si>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</si>
  <si>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</si>
  <si>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</si>
  <si>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</si>
  <si>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</si>
  <si>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</si>
  <si>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</si>
  <si>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</si>
  <si>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</si>
  <si>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</si>
  <si>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</si>
  <si>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</si>
  <si>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</si>
  <si>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</si>
  <si>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</si>
  <si>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</si>
  <si>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</si>
  <si>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</si>
  <si>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</si>
  <si>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</si>
  <si>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</si>
  <si>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</si>
  <si>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</si>
  <si>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</si>
  <si>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</si>
  <si>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</si>
  <si>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</si>
  <si>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</si>
  <si>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</si>
  <si>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</si>
  <si>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</si>
  <si>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</si>
  <si>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</si>
  <si>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</si>
  <si>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</si>
  <si>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</si>
  <si>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</si>
  <si>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</si>
  <si>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</si>
  <si>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</si>
  <si>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</si>
  <si>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</si>
  <si>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</si>
  <si>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</si>
  <si>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</si>
  <si>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</si>
  <si>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</si>
  <si>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</si>
  <si>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</si>
  <si>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</si>
  <si>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</si>
  <si>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</si>
  <si>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</si>
  <si>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</si>
  <si>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</si>
  <si>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</si>
  <si>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</si>
  <si>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</si>
  <si>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</si>
  <si>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</si>
  <si>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</si>
  <si>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</si>
  <si>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</si>
  <si>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</si>
  <si>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</si>
  <si>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</si>
  <si>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</si>
  <si>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</si>
  <si>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</si>
  <si>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</si>
  <si>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</si>
  <si>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</si>
  <si>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</si>
  <si>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</si>
  <si>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</si>
  <si>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</si>
  <si>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</si>
  <si>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</si>
  <si>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</si>
  <si>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</si>
  <si>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</si>
  <si>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</si>
  <si>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</si>
  <si>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</si>
  <si>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</si>
  <si>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</si>
  <si>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</si>
  <si>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</si>
  <si>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</si>
  <si>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</si>
  <si>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</si>
  <si>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</si>
  <si>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</si>
  <si>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</si>
  <si>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</si>
  <si>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</si>
  <si>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</si>
  <si>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</si>
  <si>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</si>
  <si>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</si>
  <si>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</si>
  <si>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</si>
  <si>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</si>
  <si>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</si>
  <si>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9988.HK</t>
  </si>
  <si>
    <t>阿里巴巴</t>
  </si>
  <si>
    <t>C0009</t>
  </si>
  <si>
    <t>CNY</t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</si>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</sst>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72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172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5" fontId="2" fillId="9" borderId="14" xfId="0" applyNumberFormat="1" applyFont="1" applyFill="1" applyBorder="1" applyAlignment="1">
      <alignment horizontal="right"/>
    </xf>
    <xf numFmtId="171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4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9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9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9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69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73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74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73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73" fontId="2" fillId="8" borderId="17" xfId="0" applyNumberFormat="1" applyFont="1" applyFill="1" applyBorder="1" applyAlignment="1">
      <alignment horizontal="right"/>
    </xf>
    <xf numFmtId="169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68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5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0.62297379426414834</c:v>
                </c:pt>
                <c:pt idx="1">
                  <c:v>0.22247037723339511</c:v>
                </c:pt>
                <c:pt idx="2">
                  <c:v>3.796700836974199E-4</c:v>
                </c:pt>
                <c:pt idx="3">
                  <c:v>0</c:v>
                </c:pt>
                <c:pt idx="4">
                  <c:v>8.4437634938714454E-3</c:v>
                </c:pt>
                <c:pt idx="5">
                  <c:v>0</c:v>
                </c:pt>
                <c:pt idx="6">
                  <c:v>0.14573239492488765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zoomScaleNormal="100" workbookViewId="0">
      <selection activeCell="C14" sqref="C14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5" ht="16" x14ac:dyDescent="0.2">
      <c r="A2" s="5"/>
      <c r="B2" s="6" t="s">
        <v>215</v>
      </c>
    </row>
    <row r="4" spans="1:5" ht="14" x14ac:dyDescent="0.15">
      <c r="B4" s="141" t="s">
        <v>195</v>
      </c>
      <c r="C4" s="189" t="s">
        <v>262</v>
      </c>
    </row>
    <row r="5" spans="1:5" ht="14" x14ac:dyDescent="0.15">
      <c r="B5" s="141" t="s">
        <v>196</v>
      </c>
      <c r="C5" s="192" t="s">
        <v>263</v>
      </c>
    </row>
    <row r="6" spans="1:5" ht="14" x14ac:dyDescent="0.15">
      <c r="B6" s="141" t="s">
        <v>164</v>
      </c>
      <c r="C6" s="190">
        <v>45624</v>
      </c>
    </row>
    <row r="7" spans="1:5" ht="14" x14ac:dyDescent="0.15">
      <c r="B7" s="140" t="s">
        <v>4</v>
      </c>
      <c r="C7" s="191">
        <v>8</v>
      </c>
    </row>
    <row r="8" spans="1:5" ht="14" x14ac:dyDescent="0.15">
      <c r="B8" s="140" t="s">
        <v>216</v>
      </c>
      <c r="C8" s="192" t="s">
        <v>71</v>
      </c>
      <c r="E8" s="268"/>
    </row>
    <row r="9" spans="1:5" ht="14" x14ac:dyDescent="0.15">
      <c r="B9" s="140" t="s">
        <v>217</v>
      </c>
      <c r="C9" s="193" t="s">
        <v>264</v>
      </c>
    </row>
    <row r="10" spans="1:5" ht="14" x14ac:dyDescent="0.15">
      <c r="B10" s="140" t="s">
        <v>218</v>
      </c>
      <c r="C10" s="194">
        <v>19118002388</v>
      </c>
    </row>
    <row r="11" spans="1:5" ht="14" x14ac:dyDescent="0.15">
      <c r="B11" s="140" t="s">
        <v>219</v>
      </c>
      <c r="C11" s="193" t="s">
        <v>265</v>
      </c>
    </row>
    <row r="12" spans="1:5" ht="14" x14ac:dyDescent="0.15">
      <c r="B12" s="219" t="s">
        <v>10</v>
      </c>
      <c r="C12" s="220">
        <v>45382</v>
      </c>
    </row>
    <row r="13" spans="1:5" ht="14" x14ac:dyDescent="0.15">
      <c r="B13" s="219" t="s">
        <v>11</v>
      </c>
      <c r="C13" s="221">
        <v>1000</v>
      </c>
    </row>
    <row r="14" spans="1:5" ht="14" x14ac:dyDescent="0.15">
      <c r="B14" s="219" t="s">
        <v>220</v>
      </c>
      <c r="C14" s="220">
        <v>45565</v>
      </c>
    </row>
    <row r="15" spans="1:5" ht="14" x14ac:dyDescent="0.15">
      <c r="B15" s="219" t="s">
        <v>257</v>
      </c>
      <c r="C15" s="177" t="s">
        <v>266</v>
      </c>
    </row>
    <row r="16" spans="1:5" ht="14" x14ac:dyDescent="0.15">
      <c r="B16" s="223" t="s">
        <v>97</v>
      </c>
      <c r="C16" s="224">
        <v>0.25</v>
      </c>
      <c r="D16" s="24"/>
    </row>
    <row r="17" spans="2:13" ht="14" x14ac:dyDescent="0.15">
      <c r="B17" s="241" t="s">
        <v>225</v>
      </c>
      <c r="C17" s="243" t="s">
        <v>246</v>
      </c>
      <c r="D17" s="24"/>
    </row>
    <row r="18" spans="2:13" ht="14" x14ac:dyDescent="0.15">
      <c r="B18" s="241" t="s">
        <v>239</v>
      </c>
      <c r="C18" s="243" t="s">
        <v>246</v>
      </c>
      <c r="D18" s="24"/>
    </row>
    <row r="19" spans="2:13" ht="14" x14ac:dyDescent="0.15">
      <c r="B19" s="241" t="s">
        <v>240</v>
      </c>
      <c r="C19" s="243" t="s">
        <v>246</v>
      </c>
      <c r="D19" s="24"/>
    </row>
    <row r="20" spans="2:13" ht="14" x14ac:dyDescent="0.15">
      <c r="B20" s="242" t="s">
        <v>229</v>
      </c>
      <c r="C20" s="243" t="s">
        <v>246</v>
      </c>
      <c r="D20" s="24"/>
    </row>
    <row r="21" spans="2:13" ht="14" x14ac:dyDescent="0.15">
      <c r="B21" s="225" t="s">
        <v>232</v>
      </c>
      <c r="C21" s="243" t="s">
        <v>246</v>
      </c>
      <c r="D21" s="24"/>
    </row>
    <row r="22" spans="2:13" ht="84" x14ac:dyDescent="0.15">
      <c r="B22" s="227" t="s">
        <v>231</v>
      </c>
      <c r="C22" s="244" t="s">
        <v>260</v>
      </c>
      <c r="D22" s="24"/>
    </row>
    <row r="24" spans="2:13" ht="15" x14ac:dyDescent="0.15">
      <c r="B24" s="115" t="s">
        <v>134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5" x14ac:dyDescent="0.15">
      <c r="B25" s="94" t="s">
        <v>12</v>
      </c>
      <c r="C25" s="150">
        <v>941168</v>
      </c>
      <c r="D25" s="150">
        <v>868687</v>
      </c>
      <c r="E25" s="150">
        <v>853062</v>
      </c>
      <c r="F25" s="150"/>
      <c r="G25" s="150"/>
      <c r="H25" s="150"/>
      <c r="I25" s="150"/>
      <c r="J25" s="150"/>
      <c r="K25" s="150"/>
      <c r="L25" s="150"/>
      <c r="M25" s="150"/>
    </row>
    <row r="26" spans="2:13" ht="15" x14ac:dyDescent="0.15">
      <c r="B26" s="97" t="s">
        <v>106</v>
      </c>
      <c r="C26" s="151">
        <v>586323</v>
      </c>
      <c r="D26" s="151">
        <v>549695</v>
      </c>
      <c r="E26" s="151">
        <v>539450</v>
      </c>
      <c r="F26" s="151"/>
      <c r="G26" s="151"/>
      <c r="H26" s="151"/>
      <c r="I26" s="151"/>
      <c r="J26" s="151"/>
      <c r="K26" s="151"/>
      <c r="L26" s="151"/>
      <c r="M26" s="151"/>
    </row>
    <row r="27" spans="2:13" ht="15" x14ac:dyDescent="0.15">
      <c r="B27" s="97" t="s">
        <v>104</v>
      </c>
      <c r="C27" s="151">
        <f>115141+41985</f>
        <v>157126</v>
      </c>
      <c r="D27" s="151">
        <f>103496+42183</f>
        <v>145679</v>
      </c>
      <c r="E27" s="151">
        <f>119799+31922</f>
        <v>151721</v>
      </c>
      <c r="F27" s="151"/>
      <c r="G27" s="151"/>
      <c r="H27" s="151"/>
      <c r="I27" s="151"/>
      <c r="J27" s="151"/>
      <c r="K27" s="151"/>
      <c r="L27" s="151"/>
      <c r="M27" s="151"/>
    </row>
    <row r="28" spans="2:13" ht="15" x14ac:dyDescent="0.15">
      <c r="B28" s="97" t="s">
        <v>107</v>
      </c>
      <c r="C28" s="151">
        <v>52256</v>
      </c>
      <c r="D28" s="151">
        <v>56744</v>
      </c>
      <c r="E28" s="151">
        <v>55465</v>
      </c>
      <c r="F28" s="151"/>
      <c r="G28" s="151"/>
      <c r="H28" s="151"/>
      <c r="I28" s="151"/>
      <c r="J28" s="151"/>
      <c r="K28" s="151"/>
      <c r="L28" s="151"/>
      <c r="M28" s="151"/>
    </row>
    <row r="29" spans="2:13" ht="15" x14ac:dyDescent="0.15">
      <c r="B29" s="97" t="s">
        <v>258</v>
      </c>
      <c r="C29" s="151">
        <v>7947</v>
      </c>
      <c r="D29" s="151">
        <v>5918</v>
      </c>
      <c r="E29" s="151">
        <v>4909</v>
      </c>
      <c r="F29" s="151"/>
      <c r="G29" s="151"/>
      <c r="H29" s="151"/>
      <c r="I29" s="151"/>
      <c r="J29" s="151"/>
      <c r="K29" s="151"/>
      <c r="L29" s="151"/>
      <c r="M29" s="151"/>
    </row>
    <row r="30" spans="2:13" ht="14" x14ac:dyDescent="0.15">
      <c r="B30" s="99" t="s">
        <v>111</v>
      </c>
      <c r="C30" s="151">
        <v>268</v>
      </c>
      <c r="D30" s="151">
        <v>274</v>
      </c>
      <c r="E30" s="151">
        <v>290</v>
      </c>
      <c r="F30" s="151"/>
      <c r="G30" s="151"/>
      <c r="H30" s="151"/>
      <c r="I30" s="151"/>
      <c r="J30" s="151"/>
      <c r="K30" s="151"/>
      <c r="L30" s="151"/>
      <c r="M30" s="151"/>
    </row>
    <row r="31" spans="2:13" ht="15" x14ac:dyDescent="0.15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5" x14ac:dyDescent="0.15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5" x14ac:dyDescent="0.15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5" x14ac:dyDescent="0.15">
      <c r="B34" s="94" t="s">
        <v>15</v>
      </c>
      <c r="C34" s="218"/>
      <c r="D34" s="151">
        <v>22554271</v>
      </c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5" x14ac:dyDescent="0.15">
      <c r="B35" s="94" t="s">
        <v>117</v>
      </c>
      <c r="C35" s="218"/>
      <c r="D35" s="151">
        <f>431184</f>
        <v>431184</v>
      </c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5" x14ac:dyDescent="0.15">
      <c r="B36" s="94" t="s">
        <v>149</v>
      </c>
      <c r="C36" s="218"/>
      <c r="D36" s="151">
        <v>2258059</v>
      </c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5" x14ac:dyDescent="0.15">
      <c r="B37" s="94" t="s">
        <v>16</v>
      </c>
      <c r="C37" s="218"/>
      <c r="D37" s="151">
        <v>7382230</v>
      </c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5" x14ac:dyDescent="0.15">
      <c r="B38" s="94" t="s">
        <v>116</v>
      </c>
      <c r="C38" s="218"/>
      <c r="D38" s="151">
        <v>2478102</v>
      </c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5" x14ac:dyDescent="0.15">
      <c r="B39" s="94" t="s">
        <v>17</v>
      </c>
      <c r="C39" s="218"/>
      <c r="D39" s="151">
        <f>504914+87402</f>
        <v>592316</v>
      </c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5" x14ac:dyDescent="0.15">
      <c r="B40" s="94" t="s">
        <v>18</v>
      </c>
      <c r="C40" s="218"/>
      <c r="D40" s="151">
        <f>872836+171260</f>
        <v>1044096</v>
      </c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5" x14ac:dyDescent="0.15">
      <c r="B41" s="94" t="s">
        <v>138</v>
      </c>
      <c r="C41" s="218"/>
      <c r="D41" s="151">
        <v>26334346</v>
      </c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5" x14ac:dyDescent="0.15">
      <c r="B42" s="94" t="s">
        <v>139</v>
      </c>
      <c r="C42" s="218"/>
      <c r="D42" s="151">
        <v>1389487</v>
      </c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5" x14ac:dyDescent="0.15">
      <c r="B43" s="94" t="s">
        <v>137</v>
      </c>
      <c r="C43" s="218"/>
      <c r="D43" s="151">
        <f>211741+3338+99866+1800+540000+8670910+10440941</f>
        <v>19968596</v>
      </c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4" x14ac:dyDescent="0.15">
      <c r="B44" s="74" t="s">
        <v>208</v>
      </c>
      <c r="C44" s="251">
        <f>0.125*7.2</f>
        <v>0.9</v>
      </c>
      <c r="D44" s="251">
        <f>0.125*7.2</f>
        <v>0.9</v>
      </c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4" x14ac:dyDescent="0.15">
      <c r="B45" s="74" t="s">
        <v>254</v>
      </c>
      <c r="C45" s="153">
        <f>IF(C44="","",C44*Exchange_Rate/Dashboard!$G$3)</f>
        <v>1.151225343693963E-2</v>
      </c>
      <c r="D45" s="153">
        <f>IF(D44="","",D44*Exchange_Rate/Dashboard!$G$3)</f>
        <v>1.151225343693963E-2</v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4" x14ac:dyDescent="0.15">
      <c r="B47" s="10" t="s">
        <v>250</v>
      </c>
      <c r="C47" s="195" t="s">
        <v>34</v>
      </c>
      <c r="D47" s="195" t="s">
        <v>197</v>
      </c>
      <c r="E47" s="111" t="s">
        <v>36</v>
      </c>
    </row>
    <row r="48" spans="2:13" ht="14" x14ac:dyDescent="0.15">
      <c r="B48" s="3" t="s">
        <v>38</v>
      </c>
      <c r="C48" s="59"/>
      <c r="D48" s="60">
        <v>0.9</v>
      </c>
      <c r="E48" s="112"/>
    </row>
    <row r="49" spans="2:5" ht="14" x14ac:dyDescent="0.15">
      <c r="B49" s="1" t="s">
        <v>136</v>
      </c>
      <c r="C49" s="59"/>
      <c r="D49" s="60">
        <v>0.8</v>
      </c>
      <c r="E49" s="112"/>
    </row>
    <row r="50" spans="2:5" ht="14" x14ac:dyDescent="0.15">
      <c r="B50" s="3" t="s">
        <v>117</v>
      </c>
      <c r="C50" s="59"/>
      <c r="D50" s="60">
        <f>D51</f>
        <v>0.6</v>
      </c>
      <c r="E50" s="112"/>
    </row>
    <row r="51" spans="2:5" ht="14" x14ac:dyDescent="0.15">
      <c r="B51" s="3" t="s">
        <v>42</v>
      </c>
      <c r="C51" s="59"/>
      <c r="D51" s="60">
        <v>0.6</v>
      </c>
      <c r="E51" s="112"/>
    </row>
    <row r="52" spans="2:5" ht="14" x14ac:dyDescent="0.15">
      <c r="B52" s="3" t="s">
        <v>44</v>
      </c>
      <c r="C52" s="59"/>
      <c r="D52" s="60">
        <v>0.5</v>
      </c>
      <c r="E52" s="112"/>
    </row>
    <row r="53" spans="2:5" ht="14" x14ac:dyDescent="0.15">
      <c r="B53" s="1" t="s">
        <v>159</v>
      </c>
      <c r="C53" s="59"/>
      <c r="D53" s="60">
        <f>D50</f>
        <v>0.6</v>
      </c>
      <c r="E53" s="112"/>
    </row>
    <row r="54" spans="2:5" ht="14" x14ac:dyDescent="0.15">
      <c r="B54" s="3" t="s">
        <v>118</v>
      </c>
      <c r="C54" s="59"/>
      <c r="D54" s="60">
        <v>0.1</v>
      </c>
      <c r="E54" s="112"/>
    </row>
    <row r="55" spans="2:5" ht="14" x14ac:dyDescent="0.15">
      <c r="B55" s="3" t="s">
        <v>47</v>
      </c>
      <c r="C55" s="59"/>
      <c r="D55" s="60">
        <f>D52</f>
        <v>0.5</v>
      </c>
      <c r="E55" s="112"/>
    </row>
    <row r="56" spans="2:5" ht="14" x14ac:dyDescent="0.15">
      <c r="B56" s="1" t="s">
        <v>48</v>
      </c>
      <c r="C56" s="59"/>
      <c r="D56" s="60">
        <f>D50</f>
        <v>0.6</v>
      </c>
      <c r="E56" s="222" t="s">
        <v>71</v>
      </c>
    </row>
    <row r="57" spans="2:5" ht="14" x14ac:dyDescent="0.15">
      <c r="B57" s="3" t="s">
        <v>120</v>
      </c>
      <c r="C57" s="59"/>
      <c r="D57" s="60">
        <v>0.6</v>
      </c>
      <c r="E57" s="222" t="s">
        <v>46</v>
      </c>
    </row>
    <row r="58" spans="2:5" ht="14" x14ac:dyDescent="0.15">
      <c r="B58" s="3" t="s">
        <v>50</v>
      </c>
      <c r="C58" s="59"/>
      <c r="D58" s="60">
        <f>D48</f>
        <v>0.9</v>
      </c>
      <c r="E58" s="112"/>
    </row>
    <row r="59" spans="2:5" ht="14" x14ac:dyDescent="0.15">
      <c r="B59" s="35" t="s">
        <v>51</v>
      </c>
      <c r="C59" s="120"/>
      <c r="D59" s="196">
        <f>D70</f>
        <v>0.05</v>
      </c>
      <c r="E59" s="112"/>
    </row>
    <row r="60" spans="2:5" ht="14" x14ac:dyDescent="0.15">
      <c r="B60" s="3" t="s">
        <v>61</v>
      </c>
      <c r="C60" s="59"/>
      <c r="D60" s="60">
        <f>D49</f>
        <v>0.8</v>
      </c>
      <c r="E60" s="112"/>
    </row>
    <row r="61" spans="2:5" ht="14" x14ac:dyDescent="0.15">
      <c r="B61" s="3" t="s">
        <v>63</v>
      </c>
      <c r="C61" s="59"/>
      <c r="D61" s="60">
        <f>D51</f>
        <v>0.6</v>
      </c>
      <c r="E61" s="112"/>
    </row>
    <row r="62" spans="2:5" ht="14" x14ac:dyDescent="0.15">
      <c r="B62" s="3" t="s">
        <v>65</v>
      </c>
      <c r="C62" s="59"/>
      <c r="D62" s="60">
        <f>D52</f>
        <v>0.5</v>
      </c>
      <c r="E62" s="112"/>
    </row>
    <row r="63" spans="2:5" ht="14" x14ac:dyDescent="0.15">
      <c r="B63" s="1" t="s">
        <v>160</v>
      </c>
      <c r="C63" s="59"/>
      <c r="D63" s="60">
        <f>D62</f>
        <v>0.5</v>
      </c>
      <c r="E63" s="112"/>
    </row>
    <row r="64" spans="2:5" ht="14" x14ac:dyDescent="0.15">
      <c r="B64" s="3" t="s">
        <v>68</v>
      </c>
      <c r="C64" s="59"/>
      <c r="D64" s="60">
        <v>0.4</v>
      </c>
      <c r="E64" s="112"/>
    </row>
    <row r="65" spans="2:5" ht="14" x14ac:dyDescent="0.15">
      <c r="B65" s="3" t="s">
        <v>70</v>
      </c>
      <c r="C65" s="59"/>
      <c r="D65" s="60">
        <v>0.1</v>
      </c>
      <c r="E65" s="222" t="s">
        <v>71</v>
      </c>
    </row>
    <row r="66" spans="2:5" ht="14" x14ac:dyDescent="0.15">
      <c r="B66" s="3" t="s">
        <v>72</v>
      </c>
      <c r="C66" s="59"/>
      <c r="D66" s="60">
        <v>0.2</v>
      </c>
      <c r="E66" s="222" t="s">
        <v>71</v>
      </c>
    </row>
    <row r="67" spans="2:5" ht="14" x14ac:dyDescent="0.15">
      <c r="B67" s="1" t="s">
        <v>49</v>
      </c>
      <c r="C67" s="59"/>
      <c r="D67" s="60">
        <f>D65</f>
        <v>0.1</v>
      </c>
      <c r="E67" s="222" t="s">
        <v>46</v>
      </c>
    </row>
    <row r="68" spans="2:5" ht="14" x14ac:dyDescent="0.15">
      <c r="B68" s="3" t="s">
        <v>119</v>
      </c>
      <c r="C68" s="59"/>
      <c r="D68" s="60">
        <f>D65</f>
        <v>0.1</v>
      </c>
      <c r="E68" s="112"/>
    </row>
    <row r="69" spans="2:5" ht="14" x14ac:dyDescent="0.15">
      <c r="B69" s="3" t="s">
        <v>73</v>
      </c>
      <c r="C69" s="59"/>
      <c r="D69" s="60">
        <f>D70</f>
        <v>0.05</v>
      </c>
      <c r="E69" s="112"/>
    </row>
    <row r="70" spans="2:5" ht="14" x14ac:dyDescent="0.15">
      <c r="B70" s="3" t="s">
        <v>74</v>
      </c>
      <c r="C70" s="59"/>
      <c r="D70" s="60">
        <v>0.05</v>
      </c>
      <c r="E70" s="112"/>
    </row>
    <row r="71" spans="2:5" ht="14" x14ac:dyDescent="0.15">
      <c r="B71" s="3" t="s">
        <v>75</v>
      </c>
      <c r="C71" s="59"/>
      <c r="D71" s="60">
        <f>D58</f>
        <v>0.9</v>
      </c>
      <c r="E71" s="112"/>
    </row>
    <row r="72" spans="2:5" ht="15" thickBot="1" x14ac:dyDescent="0.2">
      <c r="B72" s="247" t="s">
        <v>76</v>
      </c>
      <c r="C72" s="248"/>
      <c r="D72" s="249">
        <v>0</v>
      </c>
      <c r="E72" s="250"/>
    </row>
    <row r="73" spans="2:5" ht="14" x14ac:dyDescent="0.15">
      <c r="B73" s="3" t="s">
        <v>39</v>
      </c>
      <c r="C73" s="59"/>
    </row>
    <row r="74" spans="2:5" ht="14" x14ac:dyDescent="0.15">
      <c r="B74" s="3" t="s">
        <v>40</v>
      </c>
      <c r="C74" s="59"/>
    </row>
    <row r="75" spans="2:5" ht="14" x14ac:dyDescent="0.15">
      <c r="B75" s="3" t="s">
        <v>41</v>
      </c>
      <c r="C75" s="59"/>
    </row>
    <row r="76" spans="2:5" ht="14" x14ac:dyDescent="0.15">
      <c r="B76" s="86" t="s">
        <v>43</v>
      </c>
      <c r="C76" s="120"/>
    </row>
    <row r="77" spans="2:5" ht="15" thickBot="1" x14ac:dyDescent="0.2">
      <c r="B77" s="80" t="s">
        <v>16</v>
      </c>
      <c r="C77" s="83"/>
    </row>
    <row r="78" spans="2:5" ht="15" thickTop="1" x14ac:dyDescent="0.15">
      <c r="B78" s="3" t="s">
        <v>62</v>
      </c>
      <c r="C78" s="59"/>
    </row>
    <row r="79" spans="2:5" ht="14" x14ac:dyDescent="0.15">
      <c r="B79" s="3" t="s">
        <v>64</v>
      </c>
      <c r="C79" s="59"/>
    </row>
    <row r="80" spans="2:5" ht="14" x14ac:dyDescent="0.15">
      <c r="B80" s="3" t="s">
        <v>66</v>
      </c>
      <c r="C80" s="59"/>
    </row>
    <row r="81" spans="2:8" ht="14" x14ac:dyDescent="0.15">
      <c r="B81" s="86" t="s">
        <v>67</v>
      </c>
      <c r="C81" s="120"/>
    </row>
    <row r="82" spans="2:8" ht="15" thickBot="1" x14ac:dyDescent="0.2">
      <c r="B82" s="80" t="s">
        <v>85</v>
      </c>
      <c r="C82" s="83"/>
    </row>
    <row r="83" spans="2:8" ht="15" thickTop="1" x14ac:dyDescent="0.15">
      <c r="B83" s="73" t="s">
        <v>221</v>
      </c>
      <c r="C83" s="59"/>
    </row>
    <row r="84" spans="2:8" ht="14" x14ac:dyDescent="0.15">
      <c r="B84" s="20" t="s">
        <v>91</v>
      </c>
      <c r="C84" s="59"/>
    </row>
    <row r="85" spans="2:8" ht="14" x14ac:dyDescent="0.15">
      <c r="B85" s="20" t="s">
        <v>93</v>
      </c>
      <c r="C85" s="59"/>
    </row>
    <row r="86" spans="2:8" ht="14" x14ac:dyDescent="0.15">
      <c r="B86" s="10" t="s">
        <v>251</v>
      </c>
      <c r="C86" s="198">
        <v>5</v>
      </c>
    </row>
    <row r="87" spans="2:8" ht="14" x14ac:dyDescent="0.15">
      <c r="B87" s="10" t="s">
        <v>249</v>
      </c>
      <c r="C87" s="237" t="s">
        <v>252</v>
      </c>
    </row>
    <row r="89" spans="2:8" ht="14" x14ac:dyDescent="0.15">
      <c r="B89" s="106" t="s">
        <v>128</v>
      </c>
      <c r="C89" s="270">
        <f>C24</f>
        <v>45382</v>
      </c>
      <c r="D89" s="270"/>
      <c r="E89" s="89" t="s">
        <v>207</v>
      </c>
      <c r="F89" s="50" t="s">
        <v>206</v>
      </c>
      <c r="H89" s="31"/>
    </row>
    <row r="90" spans="2:8" ht="14" x14ac:dyDescent="0.15">
      <c r="B90" s="12" t="str">
        <f>"(Numbers in "&amp;Data!C4&amp;Dashboard!G6&amp;")"</f>
        <v>(Numbers in 1000CNY)</v>
      </c>
      <c r="C90" s="271" t="s">
        <v>101</v>
      </c>
      <c r="D90" s="271"/>
      <c r="E90" s="236" t="s">
        <v>102</v>
      </c>
      <c r="F90" s="256" t="s">
        <v>102</v>
      </c>
    </row>
    <row r="91" spans="2:8" ht="14" x14ac:dyDescent="0.15">
      <c r="B91" s="3" t="s">
        <v>127</v>
      </c>
      <c r="C91" s="77">
        <f>C25</f>
        <v>941168</v>
      </c>
      <c r="D91" s="210"/>
      <c r="E91" s="252">
        <f>C91</f>
        <v>941168</v>
      </c>
      <c r="F91" s="252">
        <f>C91</f>
        <v>941168</v>
      </c>
    </row>
    <row r="92" spans="2:8" ht="14" x14ac:dyDescent="0.15">
      <c r="B92" s="104" t="s">
        <v>106</v>
      </c>
      <c r="C92" s="77">
        <f>C26</f>
        <v>586323</v>
      </c>
      <c r="D92" s="160">
        <f>C92/C91</f>
        <v>0.62297379426414834</v>
      </c>
      <c r="E92" s="253">
        <f>E91*D92</f>
        <v>586323</v>
      </c>
      <c r="F92" s="253">
        <f>F91*D92</f>
        <v>586323</v>
      </c>
    </row>
    <row r="93" spans="2:8" ht="14" x14ac:dyDescent="0.15">
      <c r="B93" s="104" t="s">
        <v>248</v>
      </c>
      <c r="C93" s="77">
        <f>C27+C28</f>
        <v>209382</v>
      </c>
      <c r="D93" s="160">
        <f>C93/C91</f>
        <v>0.22247037723339511</v>
      </c>
      <c r="E93" s="253">
        <f>E91*D93</f>
        <v>209382</v>
      </c>
      <c r="F93" s="253">
        <f>F91*D93</f>
        <v>209382</v>
      </c>
    </row>
    <row r="94" spans="2:8" ht="14" x14ac:dyDescent="0.15">
      <c r="B94" s="104" t="s">
        <v>258</v>
      </c>
      <c r="C94" s="77">
        <f>C29</f>
        <v>7947</v>
      </c>
      <c r="D94" s="160">
        <f>C94/C91</f>
        <v>8.4437634938714454E-3</v>
      </c>
      <c r="E94" s="254"/>
      <c r="F94" s="253">
        <f>F91*D94</f>
        <v>7947.0000000000009</v>
      </c>
    </row>
    <row r="95" spans="2:8" ht="14" x14ac:dyDescent="0.15">
      <c r="B95" s="28" t="s">
        <v>247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4" x14ac:dyDescent="0.15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4" x14ac:dyDescent="0.15">
      <c r="B97" s="73" t="s">
        <v>173</v>
      </c>
      <c r="C97" s="77">
        <f>MAX(C30,0)/(1-C16)</f>
        <v>357.33333333333331</v>
      </c>
      <c r="D97" s="160">
        <f>C97/C91</f>
        <v>3.796700836974199E-4</v>
      </c>
      <c r="E97" s="254"/>
      <c r="F97" s="253">
        <f>F91*D97</f>
        <v>357.33333333333331</v>
      </c>
    </row>
    <row r="98" spans="2:7" ht="14" x14ac:dyDescent="0.15">
      <c r="B98" s="86" t="s">
        <v>208</v>
      </c>
      <c r="C98" s="238">
        <f>C44</f>
        <v>0.9</v>
      </c>
      <c r="D98" s="267"/>
      <c r="E98" s="255">
        <f>F98</f>
        <v>0.9</v>
      </c>
      <c r="F98" s="255">
        <f>C98</f>
        <v>0.9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0" sqref="C10"/>
    </sheetView>
  </sheetViews>
  <sheetFormatPr baseColWidth="10" defaultColWidth="12.33203125" defaultRowHeight="15" customHeight="1" x14ac:dyDescent="0.15"/>
  <cols>
    <col min="1" max="1" width="2.33203125" style="1" customWidth="1"/>
    <col min="2" max="2" width="30.6640625" style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7"/>
      <c r="C1" s="87"/>
      <c r="D1" s="87"/>
      <c r="E1" s="87"/>
      <c r="F1" s="87"/>
      <c r="G1" s="87"/>
      <c r="H1" s="87"/>
    </row>
    <row r="2" spans="1:10" ht="15.75" customHeight="1" x14ac:dyDescent="0.2">
      <c r="A2" s="5"/>
      <c r="B2" s="6" t="s">
        <v>0</v>
      </c>
      <c r="C2" s="25" t="str">
        <f>C3&amp;" : "&amp;C4</f>
        <v>9988.HK : 阿里巴巴</v>
      </c>
      <c r="D2" s="87"/>
      <c r="E2" s="7"/>
      <c r="F2" s="7"/>
      <c r="G2" s="86"/>
      <c r="H2" s="86"/>
    </row>
    <row r="3" spans="1:10" ht="15.75" customHeight="1" x14ac:dyDescent="0.15">
      <c r="B3" s="3" t="s">
        <v>195</v>
      </c>
      <c r="C3" s="276" t="str">
        <f>Inputs!C4</f>
        <v>9988.HK</v>
      </c>
      <c r="D3" s="277"/>
      <c r="E3" s="87"/>
      <c r="F3" s="3" t="s">
        <v>1</v>
      </c>
      <c r="G3" s="132">
        <v>83.65</v>
      </c>
      <c r="H3" s="134" t="s">
        <v>2</v>
      </c>
    </row>
    <row r="4" spans="1:10" ht="15.75" customHeight="1" x14ac:dyDescent="0.15">
      <c r="B4" s="35" t="s">
        <v>196</v>
      </c>
      <c r="C4" s="278" t="str">
        <f>Inputs!C5</f>
        <v>阿里巴巴</v>
      </c>
      <c r="D4" s="279"/>
      <c r="E4" s="87"/>
      <c r="F4" s="3" t="s">
        <v>3</v>
      </c>
      <c r="G4" s="282">
        <f>Inputs!C10</f>
        <v>19118002388</v>
      </c>
      <c r="H4" s="282"/>
      <c r="I4" s="39"/>
    </row>
    <row r="5" spans="1:10" ht="15.75" customHeight="1" x14ac:dyDescent="0.15">
      <c r="B5" s="3" t="s">
        <v>164</v>
      </c>
      <c r="C5" s="280">
        <f>Inputs!C6</f>
        <v>45624</v>
      </c>
      <c r="D5" s="281"/>
      <c r="E5" s="34"/>
      <c r="F5" s="35" t="s">
        <v>100</v>
      </c>
      <c r="G5" s="274">
        <f>G3*G4/1000000</f>
        <v>1599220.8997562001</v>
      </c>
      <c r="H5" s="274"/>
      <c r="I5" s="38"/>
      <c r="J5" s="28"/>
    </row>
    <row r="6" spans="1:10" ht="15.75" customHeight="1" x14ac:dyDescent="0.15">
      <c r="B6" s="87" t="s">
        <v>4</v>
      </c>
      <c r="C6" s="186">
        <f>Inputs!C7</f>
        <v>8</v>
      </c>
      <c r="D6" s="187">
        <f>EOMONTH(EDATE(Fin_Analysis!D9,C6),0)</f>
        <v>45808</v>
      </c>
      <c r="E6" s="51">
        <f>IF(Fin_Analysis!E9="FY",Fin_Analysis!D9,Data!C3)</f>
        <v>45382</v>
      </c>
      <c r="F6" s="3" t="s">
        <v>5</v>
      </c>
      <c r="G6" s="275" t="str">
        <f>Inputs!C11</f>
        <v>CNY</v>
      </c>
      <c r="H6" s="275"/>
      <c r="I6" s="38"/>
    </row>
    <row r="7" spans="1:10" ht="15.75" customHeight="1" x14ac:dyDescent="0.15">
      <c r="B7" s="86" t="s">
        <v>193</v>
      </c>
      <c r="C7" s="188" t="str">
        <f>Inputs!C8</f>
        <v>N</v>
      </c>
      <c r="D7" s="188" t="str">
        <f>Inputs!C9</f>
        <v>C0009</v>
      </c>
      <c r="E7" s="87"/>
      <c r="F7" s="35" t="s">
        <v>6</v>
      </c>
      <c r="G7" s="133">
        <v>1.07</v>
      </c>
      <c r="H7" s="71" t="str">
        <f>IF(G6=Dashboard!H3,H3,G6&amp;"/"&amp;Dashboard!H3)</f>
        <v>CNY/HKD</v>
      </c>
    </row>
    <row r="8" spans="1:10" ht="15.75" customHeight="1" x14ac:dyDescent="0.15"/>
    <row r="9" spans="1:10" ht="15.75" customHeight="1" x14ac:dyDescent="0.15">
      <c r="B9" s="139" t="s">
        <v>191</v>
      </c>
      <c r="F9" s="143" t="s">
        <v>186</v>
      </c>
    </row>
    <row r="10" spans="1:10" ht="15.75" customHeight="1" x14ac:dyDescent="0.15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2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15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15"/>
    <row r="14" spans="1:10" ht="15.75" customHeight="1" x14ac:dyDescent="0.15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15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2">
      <c r="B16" s="122" t="s">
        <v>188</v>
      </c>
      <c r="C16" s="174">
        <v>0.16</v>
      </c>
      <c r="D16" s="266" t="str">
        <f>Inputs!C15</f>
        <v>CN</v>
      </c>
      <c r="F16" s="110" t="s">
        <v>179</v>
      </c>
    </row>
    <row r="17" spans="1:8" ht="15.75" customHeight="1" thickTop="1" x14ac:dyDescent="0.15">
      <c r="B17" s="87" t="s">
        <v>256</v>
      </c>
      <c r="C17" s="176">
        <v>7.1999999999999995E-2</v>
      </c>
      <c r="D17" s="177"/>
    </row>
    <row r="18" spans="1:8" ht="15.75" customHeight="1" x14ac:dyDescent="0.15"/>
    <row r="19" spans="1:8" ht="15.75" customHeight="1" x14ac:dyDescent="0.15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15">
      <c r="B20" s="137" t="s">
        <v>170</v>
      </c>
      <c r="C20" s="172">
        <f>Fin_Analysis!I75</f>
        <v>0.62297379426414834</v>
      </c>
      <c r="F20" s="87" t="s">
        <v>212</v>
      </c>
      <c r="G20" s="173">
        <v>0.15</v>
      </c>
    </row>
    <row r="21" spans="1:8" ht="15.75" customHeight="1" x14ac:dyDescent="0.15">
      <c r="B21" s="137" t="s">
        <v>245</v>
      </c>
      <c r="C21" s="172">
        <f>Fin_Analysis!I77</f>
        <v>0.22247037723339511</v>
      </c>
      <c r="F21" s="87"/>
      <c r="G21" s="29"/>
    </row>
    <row r="22" spans="1:8" ht="15.75" customHeight="1" x14ac:dyDescent="0.15">
      <c r="B22" s="137" t="s">
        <v>192</v>
      </c>
      <c r="C22" s="172">
        <f>Fin_Analysis!I78</f>
        <v>3.796700836974199E-4</v>
      </c>
      <c r="F22" s="142" t="s">
        <v>185</v>
      </c>
    </row>
    <row r="23" spans="1:8" ht="15.75" customHeight="1" x14ac:dyDescent="0.15">
      <c r="B23" s="137" t="s">
        <v>172</v>
      </c>
      <c r="C23" s="172">
        <f>Fin_Analysis!I80</f>
        <v>0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15">
      <c r="B24" s="137" t="s">
        <v>171</v>
      </c>
      <c r="C24" s="172">
        <f>Fin_Analysis!I81</f>
        <v>8.4437634938714454E-3</v>
      </c>
      <c r="F24" s="140" t="s">
        <v>261</v>
      </c>
      <c r="G24" s="269">
        <f>G3/(Fin_Analysis!H86*G7)</f>
        <v>14529.148448364096</v>
      </c>
    </row>
    <row r="25" spans="1:8" ht="15.75" customHeight="1" x14ac:dyDescent="0.15">
      <c r="B25" s="137" t="s">
        <v>244</v>
      </c>
      <c r="C25" s="172">
        <f>Fin_Analysis!I82</f>
        <v>0</v>
      </c>
      <c r="F25" s="140" t="s">
        <v>175</v>
      </c>
      <c r="G25" s="172">
        <f>Fin_Analysis!I88</f>
        <v>167.26323916048565</v>
      </c>
    </row>
    <row r="26" spans="1:8" ht="15.75" customHeight="1" x14ac:dyDescent="0.15">
      <c r="B26" s="138" t="s">
        <v>174</v>
      </c>
      <c r="C26" s="172">
        <f>Fin_Analysis!I83</f>
        <v>0.14573239492488765</v>
      </c>
      <c r="F26" s="141" t="s">
        <v>194</v>
      </c>
      <c r="G26" s="179">
        <f>Fin_Analysis!H88*Exchange_Rate/G3</f>
        <v>1.151225343693963E-2</v>
      </c>
    </row>
    <row r="27" spans="1:8" ht="15.75" customHeight="1" x14ac:dyDescent="0.15"/>
    <row r="28" spans="1:8" ht="15.75" customHeight="1" x14ac:dyDescent="0.15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259</v>
      </c>
      <c r="H28" s="272"/>
    </row>
    <row r="29" spans="1:8" ht="15.75" customHeight="1" x14ac:dyDescent="0.15">
      <c r="B29" s="87" t="s">
        <v>169</v>
      </c>
      <c r="C29" s="130">
        <f>IF(Fin_Analysis!C108="Profit",Fin_Analysis!D100,IF(Fin_Analysis!C108="Dividend",Fin_Analysis!D103,Fin_Analysis!D106))</f>
        <v>3.3804340133221575E-2</v>
      </c>
      <c r="D29" s="129">
        <f>G29*(1+G20)</f>
        <v>6.4978046783751436E-2</v>
      </c>
      <c r="E29" s="87"/>
      <c r="F29" s="131">
        <f>IF(Fin_Analysis!C108="Profit",Fin_Analysis!F100,IF(Fin_Analysis!C108="Dividend",Fin_Analysis!F103,Fin_Analysis!F106))</f>
        <v>3.9769811921437144E-2</v>
      </c>
      <c r="G29" s="273">
        <f>IF(Fin_Analysis!C108="Profit",Fin_Analysis!I100,IF(Fin_Analysis!C108="Dividend",Fin_Analysis!I103,Fin_Analysis!I106))</f>
        <v>5.6502649377175161E-2</v>
      </c>
      <c r="H29" s="273"/>
    </row>
    <row r="30" spans="1:8" ht="15.75" customHeight="1" x14ac:dyDescent="0.15"/>
    <row r="31" spans="1:8" ht="15.75" customHeight="1" x14ac:dyDescent="0.2">
      <c r="A31" s="5"/>
      <c r="B31" s="6" t="s">
        <v>223</v>
      </c>
      <c r="C31"/>
    </row>
    <row r="32" spans="1:8" ht="15.75" customHeight="1" x14ac:dyDescent="0.15">
      <c r="A32"/>
      <c r="B32" s="197" t="s">
        <v>224</v>
      </c>
      <c r="C32" s="225"/>
    </row>
    <row r="33" spans="1:3" ht="15.75" customHeight="1" x14ac:dyDescent="0.15">
      <c r="A33"/>
      <c r="B33" s="20" t="s">
        <v>225</v>
      </c>
      <c r="C33" s="246" t="str">
        <f>Inputs!C17</f>
        <v>unclear</v>
      </c>
    </row>
    <row r="34" spans="1:3" ht="15.75" customHeight="1" x14ac:dyDescent="0.15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15">
      <c r="A35"/>
      <c r="B35" s="197" t="s">
        <v>227</v>
      </c>
      <c r="C35" s="225"/>
    </row>
    <row r="36" spans="1:3" ht="15.75" customHeight="1" x14ac:dyDescent="0.15">
      <c r="A36"/>
      <c r="B36" s="20" t="s">
        <v>239</v>
      </c>
      <c r="C36" s="246" t="str">
        <f>Inputs!C18</f>
        <v>unclear</v>
      </c>
    </row>
    <row r="37" spans="1:3" ht="15.75" customHeight="1" x14ac:dyDescent="0.15">
      <c r="A37"/>
      <c r="B37" s="20" t="s">
        <v>240</v>
      </c>
      <c r="C37" s="246" t="str">
        <f>Inputs!C19</f>
        <v>unclear</v>
      </c>
    </row>
    <row r="38" spans="1:3" ht="15.75" customHeight="1" x14ac:dyDescent="0.15">
      <c r="A38"/>
      <c r="B38" s="197" t="s">
        <v>228</v>
      </c>
      <c r="C38" s="225"/>
    </row>
    <row r="39" spans="1:3" ht="15.75" customHeight="1" x14ac:dyDescent="0.15">
      <c r="A39"/>
      <c r="B39" s="19" t="s">
        <v>229</v>
      </c>
      <c r="C39" s="246" t="str">
        <f>Inputs!C20</f>
        <v>unclear</v>
      </c>
    </row>
    <row r="40" spans="1:3" ht="15.75" customHeight="1" x14ac:dyDescent="0.15">
      <c r="A40"/>
      <c r="B40" s="1" t="s">
        <v>232</v>
      </c>
      <c r="C40" s="246" t="str">
        <f>Inputs!C21</f>
        <v>unclear</v>
      </c>
    </row>
    <row r="41" spans="1:3" ht="15.75" customHeight="1" x14ac:dyDescent="0.15">
      <c r="A41"/>
      <c r="B41"/>
      <c r="C41"/>
    </row>
    <row r="42" spans="1:3" ht="15.75" customHeight="1" x14ac:dyDescent="0.2">
      <c r="A42" s="5"/>
      <c r="B42" s="6" t="s">
        <v>230</v>
      </c>
      <c r="C42"/>
    </row>
    <row r="43" spans="1:3" ht="70" x14ac:dyDescent="0.15">
      <c r="A43"/>
      <c r="B43" s="227" t="s">
        <v>231</v>
      </c>
      <c r="C43" s="245" t="str">
        <f>Inputs!C22</f>
        <v>Unclear</v>
      </c>
    </row>
    <row r="44" spans="1:3" ht="15.75" customHeight="1" x14ac:dyDescent="0.15"/>
    <row r="45" spans="1:3" ht="15.75" customHeight="1" x14ac:dyDescent="0.15"/>
    <row r="46" spans="1:3" ht="15.75" customHeight="1" x14ac:dyDescent="0.15"/>
    <row r="47" spans="1:3" ht="15.75" customHeight="1" x14ac:dyDescent="0.15"/>
    <row r="48" spans="1:3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15">
      <c r="A3" s="4"/>
      <c r="B3" s="103" t="s">
        <v>10</v>
      </c>
      <c r="C3" s="202">
        <f>Inputs!C12</f>
        <v>45382</v>
      </c>
      <c r="E3" s="147" t="s">
        <v>201</v>
      </c>
      <c r="F3" s="85" t="str">
        <f>H14</f>
        <v/>
      </c>
      <c r="G3" s="85">
        <f>C14</f>
        <v>145105.66666666666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15">
      <c r="A4" s="4"/>
      <c r="B4" s="103" t="s">
        <v>11</v>
      </c>
      <c r="C4" s="128">
        <f>Inputs!C13</f>
        <v>1000</v>
      </c>
      <c r="D4" s="1" t="str">
        <f>Dashboard!G6</f>
        <v>CNY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15">
      <c r="A5" s="16"/>
      <c r="B5" s="115" t="s">
        <v>134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15">
      <c r="A6" s="4"/>
      <c r="B6" s="94" t="s">
        <v>12</v>
      </c>
      <c r="C6" s="201">
        <f>IF(Inputs!C25=""," ",Inputs!C25)</f>
        <v>941168</v>
      </c>
      <c r="D6" s="201">
        <f>IF(Inputs!D25="","",Inputs!D25)</f>
        <v>868687</v>
      </c>
      <c r="E6" s="201">
        <f>IF(Inputs!E25="","",Inputs!E25)</f>
        <v>853062</v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15">
      <c r="A7" s="4"/>
      <c r="B7" s="96" t="s">
        <v>13</v>
      </c>
      <c r="C7" s="92">
        <f t="shared" ref="C7:M7" si="1">IF(D6="","",C6/D6-1)</f>
        <v>8.3437417619925291E-2</v>
      </c>
      <c r="D7" s="92">
        <f t="shared" si="1"/>
        <v>1.8316370908562307E-2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15">
      <c r="A8" s="4"/>
      <c r="B8" s="97" t="s">
        <v>106</v>
      </c>
      <c r="C8" s="200">
        <f>IF(Inputs!C26="","",Inputs!C26)</f>
        <v>586323</v>
      </c>
      <c r="D8" s="200">
        <f>IF(Inputs!D26="","",Inputs!D26)</f>
        <v>549695</v>
      </c>
      <c r="E8" s="200">
        <f>IF(Inputs!E26="","",Inputs!E26)</f>
        <v>539450</v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15">
      <c r="A9" s="4"/>
      <c r="B9" s="98" t="s">
        <v>103</v>
      </c>
      <c r="C9" s="152">
        <f t="shared" ref="C9:M9" si="2">IF(C6="","",(C6-C8))</f>
        <v>354845</v>
      </c>
      <c r="D9" s="152">
        <f t="shared" si="2"/>
        <v>318992</v>
      </c>
      <c r="E9" s="152">
        <f t="shared" si="2"/>
        <v>313612</v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15">
      <c r="A10" s="4"/>
      <c r="B10" s="97" t="s">
        <v>104</v>
      </c>
      <c r="C10" s="200">
        <f>IF(Inputs!C27="","",Inputs!C27)</f>
        <v>157126</v>
      </c>
      <c r="D10" s="200">
        <f>IF(Inputs!D27="","",Inputs!D27)</f>
        <v>145679</v>
      </c>
      <c r="E10" s="200">
        <f>IF(Inputs!E27="","",Inputs!E27)</f>
        <v>151721</v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15">
      <c r="A11" s="4"/>
      <c r="B11" s="97" t="s">
        <v>107</v>
      </c>
      <c r="C11" s="200">
        <f>IF(Inputs!C28="","",Inputs!C28)</f>
        <v>52256</v>
      </c>
      <c r="D11" s="200">
        <f>IF(Inputs!D28="","",Inputs!D28)</f>
        <v>56744</v>
      </c>
      <c r="E11" s="200">
        <f>IF(Inputs!E28="","",Inputs!E28)</f>
        <v>55465</v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15">
      <c r="A12" s="4"/>
      <c r="B12" s="99" t="s">
        <v>241</v>
      </c>
      <c r="C12" s="200">
        <f>IF(Inputs!C30="","",MAX(Inputs!C30,0)/(1-Fin_Analysis!$I$84))</f>
        <v>357.33333333333331</v>
      </c>
      <c r="D12" s="200">
        <f>IF(Inputs!D30="","",MAX(Inputs!D30,0)/(1-Fin_Analysis!$I$84))</f>
        <v>365.33333333333331</v>
      </c>
      <c r="E12" s="200">
        <f>IF(Inputs!E30="","",MAX(Inputs!E30,0)/(1-Fin_Analysis!$I$84))</f>
        <v>386.66666666666669</v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15">
      <c r="A13" s="4"/>
      <c r="B13" s="229" t="s">
        <v>242</v>
      </c>
      <c r="C13" s="230">
        <f t="shared" ref="C13:M13" si="3">IF(C14="","",C14/C6)</f>
        <v>0.15417615841875909</v>
      </c>
      <c r="D13" s="230">
        <f t="shared" si="3"/>
        <v>0.13376931698835906</v>
      </c>
      <c r="E13" s="230">
        <f t="shared" si="3"/>
        <v>0.12430436865472068</v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15">
      <c r="A14" s="4"/>
      <c r="B14" s="229" t="s">
        <v>234</v>
      </c>
      <c r="C14" s="231">
        <f>IF(C6="","",C9-C10-MAX(C11,0)-MAX(C12,0))</f>
        <v>145105.66666666666</v>
      </c>
      <c r="D14" s="231">
        <f t="shared" ref="D14:M14" si="4">IF(D6="","",D9-D10-MAX(D11,0)-MAX(D12,0))</f>
        <v>116203.66666666667</v>
      </c>
      <c r="E14" s="231">
        <f t="shared" si="4"/>
        <v>106039.33333333333</v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15">
      <c r="A15" s="4"/>
      <c r="B15" s="232" t="s">
        <v>243</v>
      </c>
      <c r="C15" s="233">
        <f>IF(D14="","",IF(ABS(C14+D14)=ABS(C14)+ABS(D14),IF(C14&lt;0,-1,1)*(C14-D14)/D14,"Turn"))</f>
        <v>0.24871848564732596</v>
      </c>
      <c r="D15" s="233">
        <f t="shared" ref="D15:M15" si="5">IF(E14="","",IF(ABS(D14+E14)=ABS(D14)+ABS(E14),IF(D14&lt;0,-1,1)*(D14-E14)/E14,"Turn"))</f>
        <v>9.5854368504768764E-2</v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15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15">
      <c r="A17" s="4"/>
      <c r="B17" s="97" t="s">
        <v>258</v>
      </c>
      <c r="C17" s="200">
        <f>IF(Inputs!C29="","",Inputs!C29)</f>
        <v>7947</v>
      </c>
      <c r="D17" s="200">
        <f>IF(Inputs!D29="","",Inputs!D29)</f>
        <v>5918</v>
      </c>
      <c r="E17" s="200">
        <f>IF(Inputs!E29="","",Inputs!E29)</f>
        <v>4909</v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15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15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15">
      <c r="A20" s="4"/>
      <c r="B20" s="97" t="s">
        <v>236</v>
      </c>
      <c r="C20" s="153">
        <f t="shared" ref="C20:M20" si="7">IF(C6="","",MAX(C21,0)/C6)</f>
        <v>0</v>
      </c>
      <c r="D20" s="153">
        <f t="shared" si="7"/>
        <v>0</v>
      </c>
      <c r="E20" s="153">
        <f t="shared" si="7"/>
        <v>0</v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15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15">
      <c r="A22" s="4"/>
      <c r="B22" s="98" t="s">
        <v>112</v>
      </c>
      <c r="C22" s="162">
        <f>IF(C6="","",C14-MAX(C16,0)-MAX(C17,0)-ABS(MAX(C21,0)-MAX(C19,0)))</f>
        <v>137158.66666666666</v>
      </c>
      <c r="D22" s="162">
        <f t="shared" ref="D22:M22" si="8">IF(D6="","",D14-MAX(D16,0)-MAX(D17,0)-ABS(MAX(D21,0)-MAX(D19,0)))</f>
        <v>110285.66666666667</v>
      </c>
      <c r="E22" s="162">
        <f t="shared" si="8"/>
        <v>101130.33333333333</v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15">
      <c r="A23" s="4"/>
      <c r="B23" s="100" t="s">
        <v>113</v>
      </c>
      <c r="C23" s="154">
        <f t="shared" ref="C23:M23" si="9">IF(C6="","",C24/C6)</f>
        <v>0.10929929619366574</v>
      </c>
      <c r="D23" s="154">
        <f t="shared" si="9"/>
        <v>9.5217552467114164E-2</v>
      </c>
      <c r="E23" s="154">
        <f t="shared" si="9"/>
        <v>8.8912353381114154E-2</v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15">
      <c r="A24" s="4"/>
      <c r="B24" s="101" t="s">
        <v>114</v>
      </c>
      <c r="C24" s="155">
        <f>IF(C6="","",C22*(1-Fin_Analysis!$I$84))</f>
        <v>102869</v>
      </c>
      <c r="D24" s="77">
        <f>IF(D6="","",D22*(1-Fin_Analysis!$I$84))</f>
        <v>82714.25</v>
      </c>
      <c r="E24" s="77">
        <f>IF(E6="","",E22*(1-Fin_Analysis!$I$84))</f>
        <v>75847.75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2">
      <c r="A25" s="4"/>
      <c r="B25" s="235" t="s">
        <v>129</v>
      </c>
      <c r="C25" s="234">
        <f>IF(D24="","",IF(ABS(C24+D24)=ABS(C24)+ABS(D24),IF(C24&lt;0,-1,1)*(C24-D24)/D24,"Turn"))</f>
        <v>0.24366720365596012</v>
      </c>
      <c r="D25" s="234">
        <f t="shared" ref="D25:M25" si="10">IF(E24="","",IF(ABS(D24+E24)=ABS(D24)+ABS(E24),IF(D24&lt;0,-1,1)*(D24-E24)/E24,"Turn"))</f>
        <v>9.0530042090899196E-2</v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15">
      <c r="A26" s="16"/>
      <c r="B26" s="114" t="s">
        <v>135</v>
      </c>
      <c r="C26" s="48">
        <f>Fin_Analysis!D9</f>
        <v>45565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15">
      <c r="A27" s="4"/>
      <c r="B27" s="94" t="s">
        <v>14</v>
      </c>
      <c r="C27" s="65">
        <f>IF(C36="","",C36+C31+C32)</f>
        <v>0</v>
      </c>
      <c r="D27" s="65">
        <f t="shared" ref="D27:M27" si="20">IF(D36="","",D36+D31+D32)</f>
        <v>36194678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15">
      <c r="A28" s="4"/>
      <c r="B28" s="94" t="s">
        <v>15</v>
      </c>
      <c r="C28" s="65">
        <f>Fin_Analysis!C28</f>
        <v>0</v>
      </c>
      <c r="D28" s="200">
        <f>IF(Inputs!D34="","",Inputs!D34)</f>
        <v>22554271</v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15">
      <c r="A29" s="4"/>
      <c r="B29" s="94" t="s">
        <v>117</v>
      </c>
      <c r="C29" s="65">
        <f>Fin_Analysis!C13</f>
        <v>0</v>
      </c>
      <c r="D29" s="200">
        <f>IF(Inputs!D35="","",Inputs!D35)</f>
        <v>431184</v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15">
      <c r="A30" s="4"/>
      <c r="B30" s="94" t="s">
        <v>149</v>
      </c>
      <c r="C30" s="65">
        <f>Fin_Analysis!C18</f>
        <v>0</v>
      </c>
      <c r="D30" s="200">
        <f>IF(Inputs!D36="","",Inputs!D36)</f>
        <v>2258059</v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15">
      <c r="A31" s="4"/>
      <c r="B31" s="94" t="s">
        <v>16</v>
      </c>
      <c r="C31" s="65">
        <f>Fin_Analysis!I28</f>
        <v>0</v>
      </c>
      <c r="D31" s="200">
        <f>IF(Inputs!D37="","",Inputs!D37)</f>
        <v>7382230</v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15">
      <c r="A32" s="4"/>
      <c r="B32" s="94" t="s">
        <v>116</v>
      </c>
      <c r="C32" s="65">
        <f>Fin_Analysis!I48</f>
        <v>0</v>
      </c>
      <c r="D32" s="200">
        <f>IF(Inputs!D38="","",Inputs!D38)</f>
        <v>2478102</v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15">
      <c r="A33" s="4"/>
      <c r="B33" s="94" t="s">
        <v>17</v>
      </c>
      <c r="C33" s="65">
        <f>Fin_Analysis!I15</f>
        <v>0</v>
      </c>
      <c r="D33" s="200">
        <f>IF(Inputs!D39="","",Inputs!D39)</f>
        <v>592316</v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15">
      <c r="A34" s="4"/>
      <c r="B34" s="94" t="s">
        <v>18</v>
      </c>
      <c r="C34" s="65">
        <f>Fin_Analysis!I34</f>
        <v>0</v>
      </c>
      <c r="D34" s="200">
        <f>IF(Inputs!D40="","",Inputs!D40)</f>
        <v>1044096</v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15">
      <c r="A35" s="4"/>
      <c r="B35" s="94" t="s">
        <v>19</v>
      </c>
      <c r="C35" s="77">
        <f t="shared" ref="C35" si="21">IF(OR(C33="",C34=""),"",C33+C34)</f>
        <v>0</v>
      </c>
      <c r="D35" s="77">
        <f t="shared" ref="D35" si="22">IF(OR(D33="",D34=""),"",D33+D34)</f>
        <v>1636412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15">
      <c r="A36" s="4"/>
      <c r="B36" s="94" t="s">
        <v>138</v>
      </c>
      <c r="C36" s="65">
        <f>Fin_Analysis!D3</f>
        <v>0</v>
      </c>
      <c r="D36" s="200">
        <f>IF(Inputs!D41="","",Inputs!D41)</f>
        <v>26334346</v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15">
      <c r="A37" s="4"/>
      <c r="B37" s="94" t="s">
        <v>139</v>
      </c>
      <c r="C37" s="65">
        <f>Fin_Analysis!D4</f>
        <v>0</v>
      </c>
      <c r="D37" s="200">
        <f>IF(Inputs!D42="","",Inputs!D42)</f>
        <v>1389487</v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15">
      <c r="A38" s="4"/>
      <c r="B38" s="94" t="s">
        <v>137</v>
      </c>
      <c r="C38" s="65">
        <f>Fin_Analysis!C63</f>
        <v>0</v>
      </c>
      <c r="D38" s="200">
        <f>IF(Inputs!D43="","",Inputs!D43)</f>
        <v>19968596</v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15">
      <c r="A39" s="4"/>
      <c r="B39" s="94" t="s">
        <v>141</v>
      </c>
      <c r="C39" s="65">
        <f>Fin_Analysis!C68</f>
        <v>0</v>
      </c>
      <c r="D39" s="65">
        <f>IF(D38="","",D27-D38)</f>
        <v>16226082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15">
      <c r="A40" s="4"/>
      <c r="B40" s="98" t="s">
        <v>158</v>
      </c>
      <c r="C40" s="156" t="e">
        <f>IF(C6="","",C14/MAX(C39,0))</f>
        <v>#DIV/0!</v>
      </c>
      <c r="D40" s="156">
        <f>IF(D6="","",D14/MAX(D39,0))</f>
        <v>7.1615357710300412E-3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15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15">
      <c r="A42" s="4"/>
      <c r="B42" s="95" t="s">
        <v>98</v>
      </c>
      <c r="C42" s="157">
        <f t="shared" ref="C42:M42" si="34">IF(C6="","",C8/C6)</f>
        <v>0.62297379426414834</v>
      </c>
      <c r="D42" s="157">
        <f t="shared" si="34"/>
        <v>0.63278833457850758</v>
      </c>
      <c r="E42" s="157">
        <f t="shared" si="34"/>
        <v>0.63236904234393276</v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15">
      <c r="A43" s="4"/>
      <c r="B43" s="94" t="s">
        <v>235</v>
      </c>
      <c r="C43" s="154">
        <f t="shared" ref="C43:M43" si="35">IF(C6="","",(C10+MAX(C11,0))/C6)</f>
        <v>0.22247037723339511</v>
      </c>
      <c r="D43" s="154">
        <f t="shared" si="35"/>
        <v>0.23302179035717122</v>
      </c>
      <c r="E43" s="154">
        <f t="shared" si="35"/>
        <v>0.24287331987592931</v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15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15">
      <c r="A45" s="4"/>
      <c r="B45" s="94" t="s">
        <v>122</v>
      </c>
      <c r="C45" s="154">
        <f t="shared" ref="C45:M45" si="37">IF(C6="","",MAX(C17,0)/C6)</f>
        <v>8.4437634938714454E-3</v>
      </c>
      <c r="D45" s="154">
        <f t="shared" si="37"/>
        <v>6.8125803655401775E-3</v>
      </c>
      <c r="E45" s="154">
        <f t="shared" si="37"/>
        <v>5.7545641465684789E-3</v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15">
      <c r="A46" s="4"/>
      <c r="B46" s="94" t="s">
        <v>130</v>
      </c>
      <c r="C46" s="154">
        <f>IF(C6="","",MAX(C12,0)/C6)</f>
        <v>3.796700836974199E-4</v>
      </c>
      <c r="D46" s="154">
        <f t="shared" ref="D46:M46" si="38">IF(D6="","",MAX(D12,0)/D6)</f>
        <v>4.205580759621513E-4</v>
      </c>
      <c r="E46" s="154">
        <f t="shared" si="38"/>
        <v>4.5326912541722252E-4</v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15">
      <c r="A47" s="4"/>
      <c r="B47" s="94" t="s">
        <v>237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>
        <f t="shared" si="39"/>
        <v>0</v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15">
      <c r="A48" s="4"/>
      <c r="B48" s="94" t="s">
        <v>124</v>
      </c>
      <c r="C48" s="154">
        <f t="shared" ref="C48:M48" si="40">IF(C6="","",C22/C6)</f>
        <v>0.14573239492488765</v>
      </c>
      <c r="D48" s="154">
        <f t="shared" si="40"/>
        <v>0.12695673662281889</v>
      </c>
      <c r="E48" s="154">
        <f t="shared" si="40"/>
        <v>0.1185498045081522</v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15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15">
      <c r="A50" s="4"/>
      <c r="B50" s="95" t="s">
        <v>147</v>
      </c>
      <c r="C50" s="157">
        <f t="shared" ref="C50:M50" si="41">IF(C29="","",C29/C6)</f>
        <v>0</v>
      </c>
      <c r="D50" s="157">
        <f t="shared" si="41"/>
        <v>0.49636290171258463</v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15">
      <c r="A51" s="4"/>
      <c r="B51" s="94" t="s">
        <v>148</v>
      </c>
      <c r="C51" s="154">
        <f t="shared" ref="C51:M51" si="42">IF(C30="","",C30/C6)</f>
        <v>0</v>
      </c>
      <c r="D51" s="154">
        <f t="shared" si="42"/>
        <v>2.5993931070684839</v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15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5" t="s">
        <v>20</v>
      </c>
      <c r="C53" s="157" t="e">
        <f>IF(C36="","",(C27-C36)/C27)</f>
        <v>#DIV/0!</v>
      </c>
      <c r="D53" s="157">
        <f t="shared" ref="D53:M53" si="43">IF(D36="","",(D27-D36)/D27)</f>
        <v>0.27242491285597292</v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15">
      <c r="A54" s="4"/>
      <c r="B54" s="94" t="s">
        <v>121</v>
      </c>
      <c r="C54" s="158" t="str">
        <f t="shared" ref="C54:M54" si="44">IF(OR(C22="",C35=""),"",IF(C35&lt;=0,"-",C22/C35))</f>
        <v>-</v>
      </c>
      <c r="D54" s="158">
        <f t="shared" si="44"/>
        <v>6.7394804405410541E-2</v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15">
      <c r="A55" s="4"/>
      <c r="B55" s="94" t="s">
        <v>123</v>
      </c>
      <c r="C55" s="154">
        <f t="shared" ref="C55:M55" si="45">IF(C22="","",IF(MAX(C17,0)&lt;=0,"-",C17/C22))</f>
        <v>5.7940195782986134E-2</v>
      </c>
      <c r="D55" s="154">
        <f t="shared" si="45"/>
        <v>5.3660644931193838E-2</v>
      </c>
      <c r="E55" s="154">
        <f t="shared" si="45"/>
        <v>4.8541321265297921E-2</v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15">
      <c r="A56" s="4"/>
      <c r="B56" s="98" t="s">
        <v>21</v>
      </c>
      <c r="C56" s="159" t="e">
        <f t="shared" ref="C56:M56" si="46">IF(C28="","",C28/C31)</f>
        <v>#DIV/0!</v>
      </c>
      <c r="D56" s="159">
        <f t="shared" si="46"/>
        <v>3.055211094750502</v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15"/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69" zoomScaleNormal="100" workbookViewId="0">
      <selection activeCell="F82" sqref="F82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15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15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15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2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15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15">
      <c r="C8" s="87"/>
      <c r="D8" s="87"/>
      <c r="E8" s="87"/>
      <c r="K8" s="24"/>
    </row>
    <row r="9" spans="1:11" ht="15" customHeight="1" x14ac:dyDescent="0.2">
      <c r="A9" s="2"/>
      <c r="B9" s="46" t="s">
        <v>32</v>
      </c>
      <c r="C9" s="86"/>
      <c r="D9" s="204">
        <f>Inputs!C14</f>
        <v>45565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15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15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4" x14ac:dyDescent="0.15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4" x14ac:dyDescent="0.15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4" x14ac:dyDescent="0.15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4" x14ac:dyDescent="0.15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4" x14ac:dyDescent="0.15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4" x14ac:dyDescent="0.15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4" x14ac:dyDescent="0.15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4" x14ac:dyDescent="0.15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4" x14ac:dyDescent="0.15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15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15">
      <c r="C23" s="87"/>
      <c r="D23" s="87"/>
      <c r="E23" s="87"/>
      <c r="F23" s="111" t="s">
        <v>52</v>
      </c>
      <c r="G23" s="87"/>
    </row>
    <row r="24" spans="2:10" ht="15" customHeight="1" x14ac:dyDescent="0.15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15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15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15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15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15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15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15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15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4" x14ac:dyDescent="0.15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4" x14ac:dyDescent="0.15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4" x14ac:dyDescent="0.15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4" x14ac:dyDescent="0.15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4" x14ac:dyDescent="0.15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15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4" x14ac:dyDescent="0.15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15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15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15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15">
      <c r="C43" s="87"/>
      <c r="D43" s="87"/>
      <c r="E43" s="87"/>
      <c r="F43" s="87"/>
      <c r="G43" s="87"/>
      <c r="H43" s="87"/>
      <c r="I43" s="87"/>
    </row>
    <row r="44" spans="2:10" ht="15" customHeight="1" x14ac:dyDescent="0.15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15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15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15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2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15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15">
      <c r="C50" s="87"/>
      <c r="D50" s="87"/>
      <c r="E50" s="87"/>
      <c r="I50" s="87"/>
    </row>
    <row r="51" spans="2:11" ht="14" x14ac:dyDescent="0.15">
      <c r="B51" s="10" t="s">
        <v>87</v>
      </c>
      <c r="C51" s="31"/>
      <c r="D51" s="18"/>
    </row>
    <row r="52" spans="2:11" ht="14" x14ac:dyDescent="0.15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4" x14ac:dyDescent="0.15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15">
      <c r="C54" s="87"/>
      <c r="D54" s="87"/>
      <c r="E54" s="87"/>
      <c r="F54" s="87"/>
      <c r="G54" s="87"/>
      <c r="I54" s="87"/>
      <c r="K54" s="33"/>
    </row>
    <row r="55" spans="2:11" ht="14" x14ac:dyDescent="0.15">
      <c r="B55" s="25" t="s">
        <v>151</v>
      </c>
      <c r="C55" s="3"/>
      <c r="E55" s="125"/>
      <c r="F55" s="3"/>
      <c r="G55" s="3"/>
      <c r="I55" s="87"/>
      <c r="K55" s="33"/>
    </row>
    <row r="56" spans="2:11" ht="14" x14ac:dyDescent="0.15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4" x14ac:dyDescent="0.15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15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15">
      <c r="C59" s="87"/>
      <c r="D59" s="87"/>
      <c r="E59" s="87"/>
      <c r="F59" s="87"/>
      <c r="G59" s="87"/>
      <c r="I59" s="87"/>
      <c r="K59" s="33"/>
    </row>
    <row r="60" spans="2:11" ht="14" x14ac:dyDescent="0.15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15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4" x14ac:dyDescent="0.15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4" x14ac:dyDescent="0.15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thickBot="1" x14ac:dyDescent="0.2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thickTop="1" x14ac:dyDescent="0.15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4" x14ac:dyDescent="0.15">
      <c r="B66" s="3"/>
      <c r="C66" s="68"/>
      <c r="D66" s="29"/>
      <c r="E66" s="61"/>
      <c r="F66" s="87"/>
      <c r="G66" s="87"/>
      <c r="I66" s="87"/>
      <c r="K66" s="33"/>
    </row>
    <row r="67" spans="1:11" ht="14" x14ac:dyDescent="0.15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4" x14ac:dyDescent="0.15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thickBot="1" x14ac:dyDescent="0.2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thickTop="1" x14ac:dyDescent="0.15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15">
      <c r="A72" s="5"/>
      <c r="B72" s="106" t="s">
        <v>128</v>
      </c>
      <c r="C72" s="270">
        <f>Data!C5</f>
        <v>45382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15">
      <c r="B73" s="12" t="str">
        <f>"(Numbers in "&amp;Data!C4&amp;Dashboard!G6&amp;")"</f>
        <v>(Numbers in 1000CNY)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15">
      <c r="B74" s="3" t="s">
        <v>127</v>
      </c>
      <c r="C74" s="77">
        <f>Data!C6</f>
        <v>941168</v>
      </c>
      <c r="D74" s="210"/>
      <c r="E74" s="239">
        <f>Inputs!E91</f>
        <v>941168</v>
      </c>
      <c r="F74" s="210"/>
      <c r="H74" s="239">
        <f>Inputs!F91</f>
        <v>941168</v>
      </c>
      <c r="I74" s="210"/>
      <c r="K74" s="24"/>
    </row>
    <row r="75" spans="1:11" ht="15" customHeight="1" x14ac:dyDescent="0.15">
      <c r="B75" s="104" t="s">
        <v>106</v>
      </c>
      <c r="C75" s="77">
        <f>Data!C8</f>
        <v>586323</v>
      </c>
      <c r="D75" s="160">
        <f>C75/$C$74</f>
        <v>0.62297379426414834</v>
      </c>
      <c r="E75" s="239">
        <f>Inputs!E92</f>
        <v>586323</v>
      </c>
      <c r="F75" s="161">
        <f>E75/E74</f>
        <v>0.62297379426414834</v>
      </c>
      <c r="H75" s="239">
        <f>Inputs!F92</f>
        <v>586323</v>
      </c>
      <c r="I75" s="161">
        <f>H75/$H$74</f>
        <v>0.62297379426414834</v>
      </c>
      <c r="K75" s="24"/>
    </row>
    <row r="76" spans="1:11" ht="15" customHeight="1" x14ac:dyDescent="0.15">
      <c r="B76" s="35" t="s">
        <v>96</v>
      </c>
      <c r="C76" s="162">
        <f>C74-C75</f>
        <v>354845</v>
      </c>
      <c r="D76" s="211"/>
      <c r="E76" s="163">
        <f>E74-E75</f>
        <v>354845</v>
      </c>
      <c r="F76" s="211"/>
      <c r="H76" s="163">
        <f>H74-H75</f>
        <v>354845</v>
      </c>
      <c r="I76" s="211"/>
      <c r="K76" s="24"/>
    </row>
    <row r="77" spans="1:11" ht="15" customHeight="1" x14ac:dyDescent="0.15">
      <c r="B77" s="104" t="s">
        <v>248</v>
      </c>
      <c r="C77" s="77">
        <f>Data!C10+MAX(Data!C11,0)</f>
        <v>209382</v>
      </c>
      <c r="D77" s="160">
        <f>C77/$C$74</f>
        <v>0.22247037723339511</v>
      </c>
      <c r="E77" s="239">
        <f>Inputs!E93</f>
        <v>209382</v>
      </c>
      <c r="F77" s="161">
        <f>E77/E74</f>
        <v>0.22247037723339511</v>
      </c>
      <c r="H77" s="239">
        <f>Inputs!F93</f>
        <v>209382</v>
      </c>
      <c r="I77" s="161">
        <f>H77/$H$74</f>
        <v>0.22247037723339511</v>
      </c>
      <c r="K77" s="24"/>
    </row>
    <row r="78" spans="1:11" ht="15" customHeight="1" x14ac:dyDescent="0.15">
      <c r="B78" s="73" t="s">
        <v>173</v>
      </c>
      <c r="C78" s="77">
        <f>MAX(Data!C12,0)</f>
        <v>357.33333333333331</v>
      </c>
      <c r="D78" s="160">
        <f>C78/$C$74</f>
        <v>3.796700836974199E-4</v>
      </c>
      <c r="E78" s="181">
        <f>E74*F78</f>
        <v>357.33333333333331</v>
      </c>
      <c r="F78" s="161">
        <f>I78</f>
        <v>3.796700836974199E-4</v>
      </c>
      <c r="H78" s="239">
        <f>Inputs!F97</f>
        <v>357.33333333333331</v>
      </c>
      <c r="I78" s="161">
        <f>H78/$H$74</f>
        <v>3.796700836974199E-4</v>
      </c>
      <c r="K78" s="24"/>
    </row>
    <row r="79" spans="1:11" ht="15" customHeight="1" x14ac:dyDescent="0.15">
      <c r="B79" s="257" t="s">
        <v>233</v>
      </c>
      <c r="C79" s="258">
        <f>C76-C77-C78</f>
        <v>145105.66666666666</v>
      </c>
      <c r="D79" s="259">
        <f>C79/C74</f>
        <v>0.15417615841875909</v>
      </c>
      <c r="E79" s="260">
        <f>E76-E77-E78</f>
        <v>145105.66666666666</v>
      </c>
      <c r="F79" s="259">
        <f>E79/E74</f>
        <v>0.15417615841875909</v>
      </c>
      <c r="G79" s="261"/>
      <c r="H79" s="260">
        <f>H76-H77-H78</f>
        <v>145105.66666666666</v>
      </c>
      <c r="I79" s="259">
        <f>H79/H74</f>
        <v>0.15417615841875909</v>
      </c>
      <c r="K79" s="24"/>
    </row>
    <row r="80" spans="1:11" ht="15" customHeight="1" x14ac:dyDescent="0.15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15">
      <c r="B81" s="104" t="s">
        <v>258</v>
      </c>
      <c r="C81" s="77">
        <f>MAX(Data!C17,0)</f>
        <v>7947</v>
      </c>
      <c r="D81" s="160">
        <f>C81/$C$74</f>
        <v>8.4437634938714454E-3</v>
      </c>
      <c r="E81" s="181">
        <f>E74*F81</f>
        <v>7947.0000000000009</v>
      </c>
      <c r="F81" s="161">
        <f>I81</f>
        <v>8.4437634938714454E-3</v>
      </c>
      <c r="H81" s="239">
        <f>Inputs!F94</f>
        <v>7947.0000000000009</v>
      </c>
      <c r="I81" s="161">
        <f>H81/$H$74</f>
        <v>8.4437634938714454E-3</v>
      </c>
      <c r="K81" s="24"/>
    </row>
    <row r="82" spans="1:11" ht="15" customHeight="1" x14ac:dyDescent="0.15">
      <c r="B82" s="28" t="s">
        <v>247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2">
      <c r="B83" s="105" t="s">
        <v>126</v>
      </c>
      <c r="C83" s="164">
        <f>C79-C81-C82-C80</f>
        <v>137158.66666666666</v>
      </c>
      <c r="D83" s="165">
        <f>C83/$C$74</f>
        <v>0.14573239492488765</v>
      </c>
      <c r="E83" s="166">
        <f>E79-E81-E82-E80</f>
        <v>137158.66666666666</v>
      </c>
      <c r="F83" s="165">
        <f>E83/E74</f>
        <v>0.14573239492488765</v>
      </c>
      <c r="H83" s="166">
        <f>H79-H81-H82-H80</f>
        <v>137158.66666666666</v>
      </c>
      <c r="I83" s="165">
        <f>H83/$H$74</f>
        <v>0.14573239492488765</v>
      </c>
      <c r="K83" s="24"/>
    </row>
    <row r="84" spans="1:11" ht="15" customHeight="1" thickTop="1" x14ac:dyDescent="0.15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15">
      <c r="B85" s="264" t="s">
        <v>165</v>
      </c>
      <c r="C85" s="258">
        <f>C83*(1-I84)</f>
        <v>102869</v>
      </c>
      <c r="D85" s="259">
        <f>C85/$C$74</f>
        <v>0.10929929619366574</v>
      </c>
      <c r="E85" s="265">
        <f>E83*(1-F84)</f>
        <v>102869</v>
      </c>
      <c r="F85" s="259">
        <f>E85/E74</f>
        <v>0.10929929619366574</v>
      </c>
      <c r="G85" s="261"/>
      <c r="H85" s="265">
        <f>H83*(1-I84)</f>
        <v>102869</v>
      </c>
      <c r="I85" s="259">
        <f>H85/$H$74</f>
        <v>0.10929929619366574</v>
      </c>
      <c r="K85" s="24"/>
    </row>
    <row r="86" spans="1:11" ht="15" customHeight="1" x14ac:dyDescent="0.15">
      <c r="B86" s="87" t="s">
        <v>161</v>
      </c>
      <c r="C86" s="168">
        <f>C85*Data!C4/Common_Shares</f>
        <v>5.3807399911493308E-3</v>
      </c>
      <c r="D86" s="210"/>
      <c r="E86" s="169">
        <f>E85*Data!C4/Common_Shares</f>
        <v>5.3807399911493308E-3</v>
      </c>
      <c r="F86" s="210"/>
      <c r="H86" s="169">
        <f>H85*Data!C4/Common_Shares</f>
        <v>5.3807399911493308E-3</v>
      </c>
      <c r="I86" s="210"/>
      <c r="K86" s="24"/>
    </row>
    <row r="87" spans="1:11" ht="15" customHeight="1" x14ac:dyDescent="0.15">
      <c r="B87" s="87" t="s">
        <v>209</v>
      </c>
      <c r="C87" s="262">
        <f>C86*Exchange_Rate/Dashboard!G3</f>
        <v>6.8827158284874882E-5</v>
      </c>
      <c r="D87" s="210"/>
      <c r="E87" s="263">
        <f>E86*Exchange_Rate/Dashboard!G3</f>
        <v>6.8827158284874882E-5</v>
      </c>
      <c r="F87" s="210"/>
      <c r="H87" s="263">
        <f>H86*Exchange_Rate/Dashboard!G3</f>
        <v>6.8827158284874882E-5</v>
      </c>
      <c r="I87" s="210"/>
      <c r="K87" s="24"/>
    </row>
    <row r="88" spans="1:11" ht="15" customHeight="1" x14ac:dyDescent="0.15">
      <c r="B88" s="86" t="s">
        <v>208</v>
      </c>
      <c r="C88" s="170">
        <f>Inputs!C44</f>
        <v>0.9</v>
      </c>
      <c r="D88" s="167">
        <f>C88/C86</f>
        <v>167.26323916048565</v>
      </c>
      <c r="E88" s="171">
        <f>Inputs!E98</f>
        <v>0.9</v>
      </c>
      <c r="F88" s="167">
        <f>E88/E86</f>
        <v>167.26323916048565</v>
      </c>
      <c r="H88" s="171">
        <f>Inputs!F98</f>
        <v>0.9</v>
      </c>
      <c r="I88" s="167">
        <f>H88/H86</f>
        <v>167.26323916048565</v>
      </c>
      <c r="K88" s="24"/>
    </row>
    <row r="89" spans="1:11" ht="15" customHeight="1" x14ac:dyDescent="0.15">
      <c r="B89" s="87" t="s">
        <v>222</v>
      </c>
      <c r="C89" s="262">
        <f>C88*Exchange_Rate/Dashboard!G3</f>
        <v>1.151225343693963E-2</v>
      </c>
      <c r="D89" s="210"/>
      <c r="E89" s="262">
        <f>E88*Exchange_Rate/Dashboard!G3</f>
        <v>1.151225343693963E-2</v>
      </c>
      <c r="F89" s="210"/>
      <c r="H89" s="262">
        <f>H88*Exchange_Rate/Dashboard!G3</f>
        <v>1.151225343693963E-2</v>
      </c>
      <c r="I89" s="210"/>
      <c r="K89" s="24"/>
    </row>
    <row r="90" spans="1:11" ht="15" customHeight="1" x14ac:dyDescent="0.15">
      <c r="B90" s="28"/>
      <c r="C90" s="88"/>
    </row>
    <row r="91" spans="1:11" ht="15" customHeight="1" x14ac:dyDescent="0.15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15">
      <c r="B92" s="10" t="s">
        <v>156</v>
      </c>
      <c r="C92" s="199" t="str">
        <f>Inputs!C15</f>
        <v>CN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15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210</v>
      </c>
      <c r="F93" s="144">
        <f>FV(E87,D93,0,-(E86/C93))*Exchange_Rate</f>
        <v>7.9991297053705765E-2</v>
      </c>
      <c r="H93" s="87" t="s">
        <v>210</v>
      </c>
      <c r="I93" s="144">
        <f>FV(H87,D93,0,-(H86/C93))*Exchange_Rate</f>
        <v>7.9991297053705765E-2</v>
      </c>
      <c r="K93" s="24"/>
    </row>
    <row r="94" spans="1:11" ht="15" customHeight="1" x14ac:dyDescent="0.15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14.162813346115206</v>
      </c>
      <c r="H94" s="87" t="s">
        <v>211</v>
      </c>
      <c r="I94" s="144">
        <f>FV(H89,D93,0,-(H88/C93))*Exchange_Rate</f>
        <v>14.162813346115206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15">
      <c r="B97" s="1" t="s">
        <v>131</v>
      </c>
      <c r="C97" s="91">
        <f>H97*Common_Shares/Data!C4</f>
        <v>760319.35928434622</v>
      </c>
      <c r="D97" s="214"/>
      <c r="E97" s="123">
        <f>PV(C94,D93,0,-F93)</f>
        <v>3.9769811921437144E-2</v>
      </c>
      <c r="F97" s="214"/>
      <c r="H97" s="123">
        <f>PV(C94,D93,0,-I93)</f>
        <v>3.9769811921437144E-2</v>
      </c>
      <c r="I97" s="123">
        <f>PV(C93,D93,0,-I93)</f>
        <v>5.6502649377175161E-2</v>
      </c>
      <c r="K97" s="24"/>
    </row>
    <row r="98" spans="2:11" ht="15" customHeight="1" x14ac:dyDescent="0.15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2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15">
      <c r="B100" s="1" t="s">
        <v>115</v>
      </c>
      <c r="C100" s="91">
        <f>C97-C98+$C$99</f>
        <v>760319.35928434622</v>
      </c>
      <c r="D100" s="109">
        <f>MIN(F100*(1-C94),E100)</f>
        <v>3.3804340133221575E-2</v>
      </c>
      <c r="E100" s="109">
        <f>MAX(E97-H98+E99,0)</f>
        <v>3.9769811921437144E-2</v>
      </c>
      <c r="F100" s="109">
        <f>(E100+H100)/2</f>
        <v>3.9769811921437144E-2</v>
      </c>
      <c r="H100" s="109">
        <f>MAX(C100*Data!$C$4/Common_Shares,0)</f>
        <v>3.9769811921437144E-2</v>
      </c>
      <c r="I100" s="109">
        <f>MAX(I97-H98+H99,0)</f>
        <v>5.6502649377175161E-2</v>
      </c>
      <c r="K100" s="24"/>
    </row>
    <row r="101" spans="2:11" ht="15" customHeight="1" x14ac:dyDescent="0.15">
      <c r="E101" s="24"/>
      <c r="K101" s="24"/>
    </row>
    <row r="102" spans="2:11" ht="15" customHeight="1" x14ac:dyDescent="0.15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15">
      <c r="B103" s="1" t="s">
        <v>162</v>
      </c>
      <c r="C103" s="91">
        <f>H103*Common_Shares/Data!C4</f>
        <v>134617909.26770875</v>
      </c>
      <c r="D103" s="109">
        <f>MIN(F103*(1-C94),E103)</f>
        <v>5.9852081067515153</v>
      </c>
      <c r="E103" s="123">
        <f>PV(C94,D93,0,-F94)</f>
        <v>7.0414213020606065</v>
      </c>
      <c r="F103" s="109">
        <f>(E103+H103)/2</f>
        <v>7.0414213020606065</v>
      </c>
      <c r="H103" s="123">
        <f>PV(C94,D93,0,-I94)</f>
        <v>7.0414213020606065</v>
      </c>
      <c r="I103" s="109">
        <f>PV(C93,D93,0,-I94)</f>
        <v>10.004044266873802</v>
      </c>
      <c r="K103" s="24"/>
    </row>
    <row r="104" spans="2:11" ht="15" customHeight="1" x14ac:dyDescent="0.15">
      <c r="E104" s="24"/>
      <c r="K104" s="24"/>
    </row>
    <row r="105" spans="2:11" ht="15" customHeight="1" x14ac:dyDescent="0.15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15">
      <c r="B106" s="1" t="s">
        <v>199</v>
      </c>
      <c r="C106" s="91">
        <f>E106*Common_Shares/Data!C4</f>
        <v>67689114.313496545</v>
      </c>
      <c r="D106" s="109">
        <f>(D100+D103)/2</f>
        <v>3.0095062234423686</v>
      </c>
      <c r="E106" s="123">
        <f>(E100+E103)/2</f>
        <v>3.5405955569910219</v>
      </c>
      <c r="F106" s="109">
        <f>(F100+F103)/2</f>
        <v>3.5405955569910219</v>
      </c>
      <c r="H106" s="123">
        <f>(H100+H103)/2</f>
        <v>3.5405955569910219</v>
      </c>
      <c r="I106" s="123">
        <f>(I100+I103)/2</f>
        <v>5.030273458125488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2024-11-29T16:54:34Z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