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0CE703CE-D6F6-449B-A898-9360A9AC6983}" xr6:coauthVersionLast="47" xr6:coauthVersionMax="47" xr10:uidLastSave="{00000000-0000-0000-0000-000000000000}"/>
  <bookViews>
    <workbookView xWindow="-83" yWindow="0" windowWidth="8625" windowHeight="10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E82" i="3"/>
  <c r="E80" i="3"/>
  <c r="D12" i="1" l="1"/>
  <c r="C17" i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3" i="3" s="1"/>
  <c r="C85" i="3" s="1"/>
  <c r="D85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24" i="1"/>
  <c r="E83" i="3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<sst xmlns="http://schemas.openxmlformats.org/spreadsheetml/2006/main" count="250" uniqueCount="228">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</sst>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225</v>
      </c>
      <c r="D3" s="200"/>
      <c r="E3" s="94"/>
      <c r="F3" s="3" t="s">
        <v>1</v>
      </c>
      <c r="G3" s="171">
        <v>4.42</v>
      </c>
      <c r="H3" s="173" t="s">
        <v>2</v>
      </c>
    </row>
    <row r="4" spans="1:10" ht="15.75" customHeight="1" x14ac:dyDescent="0.4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4613.1163415999999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4.0899999999999999E-2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5.1499999999999997E-2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f>(C12+C17)/2</f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f>(C15+C16)/2</f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0.12529251728173096</v>
      </c>
    </row>
    <row r="21" spans="1:8" ht="15.75" customHeight="1" x14ac:dyDescent="0.4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1.2583088683306947</v>
      </c>
    </row>
    <row r="24" spans="1:8" ht="15.75" customHeight="1" x14ac:dyDescent="0.4">
      <c r="B24" s="177" t="s">
        <v>191</v>
      </c>
      <c r="C24" s="178">
        <f>Fin_Analysis!F82</f>
        <v>8.0000000000000004E-4</v>
      </c>
      <c r="F24" s="181" t="s">
        <v>198</v>
      </c>
      <c r="G24" s="182">
        <f>(Fin_Analysis!E86*G7)/G3</f>
        <v>6.1451182022796785E-2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0.58244372240621944</v>
      </c>
    </row>
    <row r="26" spans="1:8" ht="15.75" customHeight="1" x14ac:dyDescent="0.4">
      <c r="B26" s="179" t="s">
        <v>193</v>
      </c>
      <c r="C26" s="178">
        <f>Fin_Analysis!F83</f>
        <v>9.4813296424433244E-2</v>
      </c>
      <c r="F26" s="183" t="s">
        <v>221</v>
      </c>
      <c r="G26" s="182">
        <f>Fin_Analysis!E87*Exchange_Rate/G3</f>
        <v>3.579185520361991E-2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3.6178104179021102</v>
      </c>
      <c r="D29" s="167">
        <f>IF(Fin_Analysis!C103="Profit",Fin_Analysis!F98,Fin_Analysis!F101)</f>
        <v>6.0296840298368508</v>
      </c>
      <c r="E29" s="94"/>
      <c r="F29" s="169">
        <f>IF(Fin_Analysis!C103="Profit",Fin_Analysis!D98,Fin_Analysis!D101)</f>
        <v>4.8237472238694803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zoomScale="66" zoomScaleNormal="100" workbookViewId="0">
      <selection activeCell="E93" sqref="E9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8.9296875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1262385.6575888318</v>
      </c>
      <c r="E6" s="56">
        <f>1-D6/D3</f>
        <v>0.65566204045776089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1.209539104016478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1.2583088683306947</v>
      </c>
      <c r="E53" s="95">
        <f>MAX(C53,C53*Dashboard!G23)</f>
        <v>57395.242411167979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C78-C79-C80-C81-C82/(1-F84)</f>
        <v>187276.48717948719</v>
      </c>
      <c r="D83" s="133">
        <f>C83/$C$74</f>
        <v>4.8856511613940536E-2</v>
      </c>
      <c r="E83" s="152">
        <f>E78-E79-E80-E81-E82/(1-F84)</f>
        <v>363437.75897435896</v>
      </c>
      <c r="F83" s="135">
        <f t="shared" si="8"/>
        <v>9.4813296424433244E-2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181</v>
      </c>
      <c r="C85" s="118">
        <f>C83*(1-F84)</f>
        <v>146075.66</v>
      </c>
      <c r="D85" s="135">
        <f>C85/$C$74</f>
        <v>3.8108079058873617E-2</v>
      </c>
      <c r="E85" s="154">
        <f>E83*(1-F84)</f>
        <v>283481.45199999999</v>
      </c>
      <c r="F85" s="135">
        <f>E85/$E$74</f>
        <v>7.3954371211057926E-2</v>
      </c>
    </row>
    <row r="86" spans="1:8" ht="15" customHeight="1" x14ac:dyDescent="0.4">
      <c r="B86" s="94" t="s">
        <v>176</v>
      </c>
      <c r="C86" s="161">
        <f>C85*Data!E3/Common_Shares</f>
        <v>0.13996057532250814</v>
      </c>
      <c r="D86" s="130"/>
      <c r="E86" s="163">
        <f>E85*Data!E3/Common_Shares</f>
        <v>0.27161422454076178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1.1303183031040216</v>
      </c>
      <c r="E87" s="162">
        <f>C87</f>
        <v>0.15820000000000001</v>
      </c>
      <c r="F87" s="135">
        <f>E87/E86</f>
        <v>0.58244372240621944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0.12529251728173096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3717789.5344262295</v>
      </c>
      <c r="D95" s="155">
        <f>C95*Data!$E$3/Common_Shares</f>
        <v>3.5621537644690071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5034503.8792262301</v>
      </c>
      <c r="D98" s="124">
        <f>MAX(C98*Data!$E$3/Common_Shares,0)</f>
        <v>4.8237472238694803</v>
      </c>
      <c r="E98" s="124">
        <f>D98*(1-25%)</f>
        <v>3.6178104179021102</v>
      </c>
      <c r="F98" s="124">
        <f>D98*1.25</f>
        <v>6.0296840298368508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2024-10-27T14:12:15Z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