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E1028A66-4F70-AA4A-9DF7-133760B4C227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3" i="2" l="1"/>
  <c r="F6" i="4"/>
  <c r="J21" i="4"/>
  <c r="I21" i="4"/>
  <c r="H21" i="4" l="1"/>
  <c r="G21" i="4"/>
  <c r="F21" i="4"/>
  <c r="E21" i="4"/>
  <c r="F5" i="4"/>
  <c r="D21" i="4"/>
  <c r="C21" i="4"/>
  <c r="K22" i="2"/>
  <c r="L22" i="2"/>
  <c r="M22" i="2"/>
  <c r="K47" i="2"/>
  <c r="L47" i="2"/>
  <c r="M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J47" i="2" l="1"/>
  <c r="I47" i="2"/>
  <c r="H47" i="2"/>
  <c r="G47" i="2"/>
  <c r="F47" i="2"/>
  <c r="E47" i="2"/>
  <c r="D47" i="2"/>
  <c r="C47" i="2"/>
  <c r="M14" i="2"/>
  <c r="M46" i="2"/>
  <c r="J46" i="2"/>
  <c r="L46" i="2"/>
  <c r="L14" i="2"/>
  <c r="K15" i="2" s="1"/>
  <c r="K46" i="2"/>
  <c r="K14" i="2"/>
  <c r="J15" i="2" s="1"/>
  <c r="I46" i="2"/>
  <c r="H46" i="2"/>
  <c r="F46" i="2"/>
  <c r="G46" i="2"/>
  <c r="E46" i="2"/>
  <c r="C46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C22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H22" i="2" l="1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D103" i="3"/>
  <c r="I103" i="3"/>
  <c r="H53" i="2"/>
  <c r="D77" i="3"/>
  <c r="H77" i="3" s="1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<sst xmlns="http://schemas.openxmlformats.org/spreadsheetml/2006/main" count="371" uniqueCount="266">
  <si>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</si>
  <si>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</si>
  <si>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</si>
  <si>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</si>
  <si>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</si>
  <si>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</si>
  <si>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</si>
  <si>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</si>
  <si>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</si>
  <si>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</si>
  <si>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</si>
  <si>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</si>
  <si>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</si>
  <si>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</si>
  <si>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</si>
  <si>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</si>
  <si>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</si>
  <si>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</si>
  <si>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</si>
  <si>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</si>
  <si>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</si>
  <si>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</si>
  <si>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</si>
  <si>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</si>
  <si>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</si>
  <si>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</si>
  <si>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</si>
  <si>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</si>
  <si>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</si>
  <si>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</si>
  <si>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</si>
  <si>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</si>
  <si>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</si>
  <si>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</si>
  <si>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</si>
  <si>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</si>
  <si>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</si>
  <si>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</si>
  <si>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</si>
  <si>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</si>
  <si>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</si>
  <si>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</si>
  <si>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</si>
  <si>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</si>
  <si>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</si>
  <si>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</si>
  <si>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</si>
  <si>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</si>
  <si>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</si>
  <si>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</si>
  <si>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</si>
  <si>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</si>
  <si>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</si>
  <si>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</si>
  <si>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</si>
  <si>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</si>
  <si>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</si>
  <si>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</si>
  <si>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</si>
  <si>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</si>
  <si>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</si>
  <si>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</si>
  <si>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</si>
  <si>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</si>
  <si>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</si>
  <si>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</si>
  <si>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</si>
  <si>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</si>
  <si>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</si>
  <si>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</si>
  <si>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</si>
  <si>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</si>
  <si>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</si>
  <si>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</si>
  <si>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</si>
  <si>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</si>
  <si>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</si>
  <si>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</si>
  <si>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</si>
  <si>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</si>
  <si>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</si>
  <si>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</si>
  <si>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</si>
  <si>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</si>
  <si>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</si>
  <si>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</si>
  <si>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</si>
  <si>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</si>
  <si>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</si>
  <si>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</si>
  <si>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</si>
  <si>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</si>
  <si>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</si>
  <si>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</si>
  <si>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</si>
  <si>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</si>
  <si>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</si>
  <si>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</si>
  <si>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</si>
  <si>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</si>
  <si>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</si>
  <si>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</si>
  <si>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</si>
  <si>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</si>
  <si>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</si>
  <si>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</si>
  <si>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</si>
  <si>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</si>
  <si>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</si>
  <si>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</si>
  <si>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</si>
  <si>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</si>
  <si>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</si>
  <si>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</si>
  <si>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</si>
  <si>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</si>
  <si>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</si>
  <si>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</si>
  <si>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</si>
  <si>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</si>
  <si>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</si>
  <si>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</si>
  <si>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</si>
  <si>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</si>
  <si>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</si>
  <si>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</si>
  <si>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</si>
  <si>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</si>
  <si>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</si>
  <si>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</si>
  <si>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</si>
  <si>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</si>
  <si>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</si>
  <si>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</si>
  <si>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</si>
  <si>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</si>
  <si>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</si>
  <si>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</si>
  <si>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</si>
  <si>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</si>
  <si>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</si>
  <si>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</si>
  <si>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</si>
  <si>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</si>
  <si>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</si>
  <si>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</si>
  <si>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</si>
  <si>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</si>
  <si>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</si>
  <si>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</si>
  <si>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</si>
  <si>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</si>
  <si>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</si>
  <si>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</si>
  <si>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</si>
  <si>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</si>
  <si>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</si>
  <si>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</si>
  <si>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</si>
  <si>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</si>
  <si>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</si>
  <si>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</si>
  <si>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</si>
  <si>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</si>
  <si>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</si>
  <si>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</si>
  <si>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</si>
  <si>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</si>
  <si>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</si>
  <si>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</si>
  <si>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</si>
  <si>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</si>
  <si>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</si>
  <si>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</si>
  <si>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</si>
  <si>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</si>
  <si>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</si>
  <si>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</si>
  <si>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</si>
  <si>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</si>
  <si>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</si>
  <si>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</si>
  <si>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</si>
  <si>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</si>
  <si>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</si>
  <si>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</si>
  <si>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</si>
  <si>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</si>
  <si>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</si>
  <si>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</si>
  <si>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</si>
  <si>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</si>
  <si>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</si>
  <si>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</si>
  <si>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</si>
  <si>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</si>
  <si>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</si>
  <si>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</si>
  <si>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</si>
  <si>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</si>
  <si>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</si>
  <si>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</si>
  <si>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</si>
  <si>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</si>
  <si>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</si>
  <si>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</si>
  <si>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</si>
  <si>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</si>
  <si>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</si>
  <si>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</si>
  <si>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</si>
  <si>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</si>
  <si>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</si>
  <si>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</si>
  <si>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</si>
  <si>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</si>
  <si>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</si>
  <si>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</si>
  <si>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</si>
  <si>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</si>
  <si>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</si>
  <si>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</si>
  <si>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</si>
  <si>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</si>
  <si>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</si>
  <si>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</si>
  <si>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</si>
  <si>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</si>
  <si>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</si>
  <si>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</si>
  <si>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</si>
  <si>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</si>
  <si>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</si>
  <si>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</si>
  <si>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</si>
  <si>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</si>
  <si>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</si>
  <si>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</si>
  <si>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</si>
  <si>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</si>
  <si>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</si>
  <si>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</si>
  <si>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</si>
  <si>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</si>
  <si>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</si>
  <si>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</si>
  <si>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</si>
  <si>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</si>
  <si>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</si>
  <si>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</si>
  <si>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</si>
  <si>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</si>
  <si>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</si>
  <si>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</si>
  <si>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</si>
  <si>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</si>
  <si>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</si>
  <si>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</si>
  <si>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</si>
  <si>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</si>
  <si>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</si>
  <si>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</si>
  <si>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</si>
  <si>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東方表行集團</t>
  </si>
  <si>
    <t>0398.HK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</si>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</sst>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3.7548526172941428E-3</c:v>
                </c:pt>
                <c:pt idx="3">
                  <c:v>0</c:v>
                </c:pt>
                <c:pt idx="4">
                  <c:v>0</c:v>
                </c:pt>
                <c:pt idx="5">
                  <c:v>2.4257361073934199E-4</c:v>
                </c:pt>
                <c:pt idx="6">
                  <c:v>9.3294561862408365E-2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264</v>
      </c>
      <c r="E4" s="234" t="s">
        <v>215</v>
      </c>
      <c r="F4" s="12" t="str">
        <f>C11</f>
        <v>HKD</v>
      </c>
    </row>
    <row r="5" spans="1:6" ht="14" x14ac:dyDescent="0.15">
      <c r="B5" s="141" t="s">
        <v>203</v>
      </c>
      <c r="C5" s="195" t="s">
        <v>263</v>
      </c>
      <c r="E5" s="228">
        <f>C18</f>
        <v>45382</v>
      </c>
      <c r="F5" s="229">
        <f>0.061+0.058+0.185</f>
        <v>0.30399999999999999</v>
      </c>
    </row>
    <row r="6" spans="1:6" ht="14" x14ac:dyDescent="0.15">
      <c r="B6" s="141" t="s">
        <v>168</v>
      </c>
      <c r="C6" s="193">
        <v>45619</v>
      </c>
      <c r="E6" s="230" t="s">
        <v>213</v>
      </c>
      <c r="F6" s="229">
        <f>0.061+0.058</f>
        <v>0.11899999999999999</v>
      </c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257</v>
      </c>
    </row>
    <row r="10" spans="1:6" ht="14" x14ac:dyDescent="0.15">
      <c r="B10" s="140" t="s">
        <v>226</v>
      </c>
      <c r="C10" s="197">
        <v>487358224</v>
      </c>
    </row>
    <row r="11" spans="1:6" ht="14" x14ac:dyDescent="0.15">
      <c r="B11" s="140" t="s">
        <v>227</v>
      </c>
      <c r="C11" s="196" t="s">
        <v>2</v>
      </c>
    </row>
    <row r="12" spans="1:6" ht="14" x14ac:dyDescent="0.15">
      <c r="B12" s="224" t="s">
        <v>10</v>
      </c>
      <c r="C12" s="225">
        <v>45382</v>
      </c>
    </row>
    <row r="13" spans="1:6" ht="14" x14ac:dyDescent="0.15">
      <c r="B13" s="224" t="s">
        <v>11</v>
      </c>
      <c r="C13" s="226">
        <v>1000</v>
      </c>
    </row>
    <row r="14" spans="1:6" ht="14" x14ac:dyDescent="0.15">
      <c r="B14" s="224" t="s">
        <v>229</v>
      </c>
      <c r="C14" s="225">
        <v>45382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45382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5" x14ac:dyDescent="0.15">
      <c r="B19" s="94" t="s">
        <v>12</v>
      </c>
      <c r="C19" s="151">
        <v>3638758</v>
      </c>
      <c r="D19" s="151">
        <v>3704677</v>
      </c>
      <c r="E19" s="151">
        <v>3639774</v>
      </c>
      <c r="F19" s="151">
        <v>3504022</v>
      </c>
      <c r="G19" s="151">
        <v>2352683</v>
      </c>
      <c r="H19" s="151">
        <v>2437184</v>
      </c>
      <c r="I19" s="151">
        <v>2891692</v>
      </c>
      <c r="J19" s="151">
        <v>3142295</v>
      </c>
      <c r="K19" s="151"/>
      <c r="L19" s="151"/>
      <c r="M19" s="151"/>
    </row>
    <row r="20" spans="2:13" ht="15" x14ac:dyDescent="0.15">
      <c r="B20" s="97" t="s">
        <v>106</v>
      </c>
      <c r="C20" s="152">
        <v>2488028</v>
      </c>
      <c r="D20" s="152">
        <v>2515967</v>
      </c>
      <c r="E20" s="152">
        <v>2459489</v>
      </c>
      <c r="F20" s="152">
        <v>2541906</v>
      </c>
      <c r="G20" s="152">
        <v>1707356</v>
      </c>
      <c r="H20" s="152">
        <v>1834224</v>
      </c>
      <c r="I20" s="152">
        <v>2284817</v>
      </c>
      <c r="J20" s="152">
        <v>2634028</v>
      </c>
      <c r="K20" s="152"/>
      <c r="L20" s="152"/>
      <c r="M20" s="152"/>
    </row>
    <row r="21" spans="2:13" ht="15" x14ac:dyDescent="0.15">
      <c r="B21" s="97" t="s">
        <v>104</v>
      </c>
      <c r="C21" s="152">
        <f>189552+353950+253206</f>
        <v>796708</v>
      </c>
      <c r="D21" s="152">
        <f>203629+323461+252912</f>
        <v>780002</v>
      </c>
      <c r="E21" s="152">
        <f>166057+338661+243704</f>
        <v>748422</v>
      </c>
      <c r="F21" s="152">
        <f>145490+285960+211994</f>
        <v>643444</v>
      </c>
      <c r="G21" s="152">
        <f>144836+189579+155328</f>
        <v>489743</v>
      </c>
      <c r="H21" s="152">
        <f>171904+162268+141346</f>
        <v>475518</v>
      </c>
      <c r="I21" s="152">
        <f>206424+275423</f>
        <v>481847</v>
      </c>
      <c r="J21" s="152">
        <f>190447+311367</f>
        <v>501814</v>
      </c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13663</v>
      </c>
      <c r="D23" s="152">
        <v>14612</v>
      </c>
      <c r="E23" s="152">
        <v>12033</v>
      </c>
      <c r="F23" s="152">
        <v>10203</v>
      </c>
      <c r="G23" s="152">
        <v>14210</v>
      </c>
      <c r="H23" s="152">
        <v>1959</v>
      </c>
      <c r="I23" s="152">
        <v>1843</v>
      </c>
      <c r="J23" s="152">
        <v>3730</v>
      </c>
      <c r="K23" s="152"/>
      <c r="L23" s="152"/>
      <c r="M23" s="152"/>
    </row>
    <row r="24" spans="2:13" ht="14" x14ac:dyDescent="0.15">
      <c r="B24" s="99" t="s">
        <v>111</v>
      </c>
      <c r="C24" s="152">
        <v>662</v>
      </c>
      <c r="D24" s="152">
        <v>92</v>
      </c>
      <c r="E24" s="152">
        <v>402</v>
      </c>
      <c r="F24" s="152">
        <v>-632</v>
      </c>
      <c r="G24" s="152">
        <v>-1192</v>
      </c>
      <c r="H24" s="152">
        <v>-60</v>
      </c>
      <c r="I24" s="152">
        <v>-78</v>
      </c>
      <c r="J24" s="152">
        <v>-286</v>
      </c>
      <c r="K24" s="152"/>
      <c r="L24" s="152"/>
      <c r="M24" s="152"/>
    </row>
    <row r="25" spans="2:13" ht="15" x14ac:dyDescent="0.15">
      <c r="B25" s="97" t="s">
        <v>110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/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/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/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/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/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/>
      <c r="D42" s="60">
        <f>D43</f>
        <v>0.6</v>
      </c>
      <c r="E42" s="112"/>
    </row>
    <row r="43" spans="2:13" ht="14" x14ac:dyDescent="0.15">
      <c r="B43" s="3" t="s">
        <v>42</v>
      </c>
      <c r="C43" s="59"/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/>
      <c r="D46" s="60">
        <v>0.1</v>
      </c>
      <c r="E46" s="112"/>
    </row>
    <row r="47" spans="2:13" ht="14" x14ac:dyDescent="0.15">
      <c r="B47" s="3" t="s">
        <v>47</v>
      </c>
      <c r="C47" s="59"/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/>
      <c r="D49" s="60">
        <v>0.6</v>
      </c>
      <c r="E49" s="227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9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/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/>
      <c r="D56" s="60">
        <v>0.4</v>
      </c>
      <c r="E56" s="112"/>
    </row>
    <row r="57" spans="2:5" ht="14" x14ac:dyDescent="0.15">
      <c r="B57" s="3" t="s">
        <v>70</v>
      </c>
      <c r="C57" s="59"/>
      <c r="D57" s="60">
        <v>0.1</v>
      </c>
      <c r="E57" s="227" t="s">
        <v>71</v>
      </c>
    </row>
    <row r="58" spans="2:5" ht="14" x14ac:dyDescent="0.15">
      <c r="B58" s="3" t="s">
        <v>72</v>
      </c>
      <c r="C58" s="59"/>
      <c r="D58" s="60">
        <v>0.2</v>
      </c>
      <c r="E58" s="227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/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/>
      <c r="D62" s="60">
        <v>0.05</v>
      </c>
      <c r="E62" s="112"/>
    </row>
    <row r="63" spans="2:5" ht="14" x14ac:dyDescent="0.15">
      <c r="B63" s="3" t="s">
        <v>75</v>
      </c>
      <c r="C63" s="59"/>
      <c r="D63" s="60">
        <f>D50</f>
        <v>0.9</v>
      </c>
      <c r="E63" s="112"/>
    </row>
    <row r="64" spans="2:5" ht="14" x14ac:dyDescent="0.15">
      <c r="B64" s="3" t="s">
        <v>76</v>
      </c>
      <c r="C64" s="59"/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230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6" sqref="C1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0398.HK</v>
      </c>
      <c r="D3" s="253"/>
      <c r="E3" s="87"/>
      <c r="F3" s="3" t="s">
        <v>1</v>
      </c>
      <c r="G3" s="132">
        <v>3.69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東方表行集團</v>
      </c>
      <c r="D4" s="255"/>
      <c r="E4" s="87"/>
      <c r="F4" s="3" t="s">
        <v>3</v>
      </c>
      <c r="G4" s="258">
        <f>Inputs!C10</f>
        <v>487358224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45619</v>
      </c>
      <c r="D5" s="257"/>
      <c r="E5" s="34"/>
      <c r="F5" s="35" t="s">
        <v>100</v>
      </c>
      <c r="G5" s="250">
        <f>G3*G4/1000000</f>
        <v>1798.35184656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0.68375747988736812</v>
      </c>
      <c r="F20" s="87" t="s">
        <v>219</v>
      </c>
      <c r="G20" s="175">
        <v>0.15</v>
      </c>
    </row>
    <row r="21" spans="1:8" ht="15.75" customHeight="1" x14ac:dyDescent="0.15">
      <c r="B21" s="137" t="s">
        <v>259</v>
      </c>
      <c r="C21" s="174">
        <f>Fin_Analysis!I77</f>
        <v>0.21895053202218998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3.7548526172941428E-3</v>
      </c>
      <c r="F22" s="142" t="s">
        <v>191</v>
      </c>
    </row>
    <row r="23" spans="1:8" ht="15.75" customHeight="1" x14ac:dyDescent="0.15">
      <c r="B23" s="137" t="s">
        <v>258</v>
      </c>
      <c r="C23" s="174">
        <f>Fin_Analysis!I80</f>
        <v>0</v>
      </c>
      <c r="F23" s="140" t="s">
        <v>195</v>
      </c>
      <c r="G23" s="180" t="e">
        <f>G3/(Data!C36*Data!C4/Common_Shares*Exchange_Rate)</f>
        <v>#DIV/0!</v>
      </c>
    </row>
    <row r="24" spans="1:8" ht="15.75" customHeight="1" x14ac:dyDescent="0.15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0.14157810691329881</v>
      </c>
    </row>
    <row r="25" spans="1:8" ht="15.75" customHeight="1" x14ac:dyDescent="0.15">
      <c r="B25" s="137" t="s">
        <v>199</v>
      </c>
      <c r="C25" s="174">
        <f>Fin_Analysis!I82</f>
        <v>2.4257361073934199E-4</v>
      </c>
      <c r="F25" s="140" t="s">
        <v>179</v>
      </c>
      <c r="G25" s="174">
        <f>Fin_Analysis!I88</f>
        <v>0.2277846709235499</v>
      </c>
    </row>
    <row r="26" spans="1:8" ht="15.75" customHeight="1" x14ac:dyDescent="0.15">
      <c r="B26" s="138" t="s">
        <v>178</v>
      </c>
      <c r="C26" s="174">
        <f>Fin_Analysis!I83</f>
        <v>9.3294561862408365E-2</v>
      </c>
      <c r="F26" s="141" t="s">
        <v>201</v>
      </c>
      <c r="G26" s="181">
        <f>Fin_Analysis!H88*Exchange_Rate/G3</f>
        <v>3.224932249322493E-2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1.304845104798771</v>
      </c>
      <c r="D29" s="129">
        <f>IF(Fin_Analysis!C108="Profit",Fin_Analysis!I100,IF(Fin_Analysis!C108="Dividend",Fin_Analysis!I103,Fin_Analysis!I106))</f>
        <v>1.9188898599981927</v>
      </c>
      <c r="E29" s="87"/>
      <c r="F29" s="131">
        <f>IF(Fin_Analysis!C108="Profit",Fin_Analysis!F100,IF(Fin_Analysis!C108="Dividend",Fin_Analysis!F103,Fin_Analysis!F106))</f>
        <v>1.5351118879985541</v>
      </c>
      <c r="G29" s="249">
        <f>IF(Fin_Analysis!C108="Profit",Fin_Analysis!E100,IF(Fin_Analysis!C108="Dividend",Fin_Analysis!E103,Fin_Analysis!E106))</f>
        <v>1.5351118879985541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242</v>
      </c>
    </row>
    <row r="34" spans="1:3" ht="15.75" customHeight="1" x14ac:dyDescent="0.15">
      <c r="A34"/>
      <c r="B34" s="19" t="s">
        <v>235</v>
      </c>
      <c r="C34" s="23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252</v>
      </c>
      <c r="C36" s="236" t="s">
        <v>260</v>
      </c>
    </row>
    <row r="37" spans="1:3" ht="15.75" customHeight="1" x14ac:dyDescent="0.15">
      <c r="A37"/>
      <c r="B37" s="20" t="s">
        <v>253</v>
      </c>
      <c r="C37" s="236" t="s">
        <v>243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243</v>
      </c>
    </row>
    <row r="40" spans="1:3" ht="15.75" customHeight="1" x14ac:dyDescent="0.15">
      <c r="A40"/>
      <c r="B40" s="1" t="s">
        <v>244</v>
      </c>
      <c r="C40" s="236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abSelected="1" topLeftCell="A26" zoomScaleNormal="100" workbookViewId="0">
      <pane xSplit="2" topLeftCell="C1" activePane="topRight" state="frozen"/>
      <selection activeCell="A4" sqref="A4"/>
      <selection pane="topRight" activeCell="H14" sqref="H1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45382</v>
      </c>
      <c r="E3" s="148" t="s">
        <v>208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>
        <f>(G3/F3)^(1/H3)-1</f>
        <v>0.18514708429375548</v>
      </c>
      <c r="J4" s="87"/>
    </row>
    <row r="5" spans="1:14" ht="15.75" customHeight="1" x14ac:dyDescent="0.15">
      <c r="A5" s="16"/>
      <c r="B5" s="115" t="s">
        <v>137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4" t="s">
        <v>12</v>
      </c>
      <c r="C6" s="206">
        <f>IF(Inputs!C19=""," ",Inputs!C19)</f>
        <v>3638758</v>
      </c>
      <c r="D6" s="206">
        <f>IF(Inputs!D19="","",Inputs!D19)</f>
        <v>3704677</v>
      </c>
      <c r="E6" s="206">
        <f>IF(Inputs!E19="","",Inputs!E19)</f>
        <v>3639774</v>
      </c>
      <c r="F6" s="206">
        <f>IF(Inputs!F19="","",Inputs!F19)</f>
        <v>3504022</v>
      </c>
      <c r="G6" s="206">
        <f>IF(Inputs!G19="","",Inputs!G19)</f>
        <v>2352683</v>
      </c>
      <c r="H6" s="206">
        <f>IF(Inputs!H19="","",Inputs!H19)</f>
        <v>2437184</v>
      </c>
      <c r="I6" s="206">
        <f>IF(Inputs!I19="","",Inputs!I19)</f>
        <v>2891692</v>
      </c>
      <c r="J6" s="206">
        <f>IF(Inputs!J19="","",Inputs!J19)</f>
        <v>3142295</v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2488028</v>
      </c>
      <c r="D8" s="205">
        <f>IF(Inputs!D20="","",Inputs!D20)</f>
        <v>2515967</v>
      </c>
      <c r="E8" s="205">
        <f>IF(Inputs!E20="","",Inputs!E20)</f>
        <v>2459489</v>
      </c>
      <c r="F8" s="205">
        <f>IF(Inputs!F20="","",Inputs!F20)</f>
        <v>2541906</v>
      </c>
      <c r="G8" s="205">
        <f>IF(Inputs!G20="","",Inputs!G20)</f>
        <v>1707356</v>
      </c>
      <c r="H8" s="205">
        <f>IF(Inputs!H20="","",Inputs!H20)</f>
        <v>1834224</v>
      </c>
      <c r="I8" s="205">
        <f>IF(Inputs!I20="","",Inputs!I20)</f>
        <v>2284817</v>
      </c>
      <c r="J8" s="205">
        <f>IF(Inputs!J20="","",Inputs!J20)</f>
        <v>2634028</v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1150730</v>
      </c>
      <c r="D9" s="153">
        <f t="shared" si="2"/>
        <v>1188710</v>
      </c>
      <c r="E9" s="153">
        <f t="shared" si="2"/>
        <v>1180285</v>
      </c>
      <c r="F9" s="153">
        <f t="shared" si="2"/>
        <v>962116</v>
      </c>
      <c r="G9" s="153">
        <f t="shared" si="2"/>
        <v>645327</v>
      </c>
      <c r="H9" s="153">
        <f t="shared" si="2"/>
        <v>602960</v>
      </c>
      <c r="I9" s="153">
        <f t="shared" si="2"/>
        <v>606875</v>
      </c>
      <c r="J9" s="153">
        <f t="shared" si="2"/>
        <v>508267</v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796708</v>
      </c>
      <c r="D10" s="205">
        <f>IF(Inputs!D21="","",Inputs!D21)</f>
        <v>780002</v>
      </c>
      <c r="E10" s="205">
        <f>IF(Inputs!E21="","",Inputs!E21)</f>
        <v>748422</v>
      </c>
      <c r="F10" s="205">
        <f>IF(Inputs!F21="","",Inputs!F21)</f>
        <v>643444</v>
      </c>
      <c r="G10" s="205">
        <f>IF(Inputs!G21="","",Inputs!G21)</f>
        <v>489743</v>
      </c>
      <c r="H10" s="205">
        <f>IF(Inputs!H21="","",Inputs!H21)</f>
        <v>475518</v>
      </c>
      <c r="I10" s="205">
        <f>IF(Inputs!I21="","",Inputs!I21)</f>
        <v>481847</v>
      </c>
      <c r="J10" s="205">
        <f>IF(Inputs!J21="","",Inputs!J21)</f>
        <v>501814</v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5">
        <f>IF(Inputs!C24="","",MAX(Inputs!C24,0)/(1-Fin_Analysis!$I$84))</f>
        <v>882.66666666666663</v>
      </c>
      <c r="D12" s="205">
        <f>IF(Inputs!D24="","",MAX(Inputs!D24,0)/(1-Fin_Analysis!$I$84))</f>
        <v>122.66666666666667</v>
      </c>
      <c r="E12" s="205">
        <f>IF(Inputs!E24="","",MAX(Inputs!E24,0)/(1-Fin_Analysis!$I$84))</f>
        <v>536</v>
      </c>
      <c r="F12" s="205">
        <f>IF(Inputs!F24="","",MAX(Inputs!F24,0)/(1-Fin_Analysis!$I$84))</f>
        <v>0</v>
      </c>
      <c r="G12" s="205">
        <f>IF(Inputs!G24="","",MAX(Inputs!G24,0)/(1-Fin_Analysis!$I$84))</f>
        <v>0</v>
      </c>
      <c r="H12" s="205">
        <f>IF(Inputs!H24="","",MAX(Inputs!H24,0)/(1-Fin_Analysis!$I$84))</f>
        <v>0</v>
      </c>
      <c r="I12" s="205">
        <f>IF(Inputs!I24="","",MAX(Inputs!I24,0)/(1-Fin_Analysis!$I$84))</f>
        <v>0</v>
      </c>
      <c r="J12" s="205">
        <f>IF(Inputs!J24="","",MAX(Inputs!J24,0)/(1-Fin_Analysis!$I$84))</f>
        <v>0</v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255</v>
      </c>
      <c r="C13" s="242">
        <f t="shared" ref="C13:M13" si="3">IF(C14="","",C14/C6)</f>
        <v>9.70494144797025E-2</v>
      </c>
      <c r="D13" s="242">
        <f t="shared" si="3"/>
        <v>0.11028905713867453</v>
      </c>
      <c r="E13" s="242">
        <f t="shared" si="3"/>
        <v>0.11850378622408973</v>
      </c>
      <c r="F13" s="242">
        <f t="shared" si="3"/>
        <v>9.0944634480034661E-2</v>
      </c>
      <c r="G13" s="242">
        <f t="shared" si="3"/>
        <v>6.6130456164302631E-2</v>
      </c>
      <c r="H13" s="242">
        <f t="shared" si="3"/>
        <v>5.2290676452824245E-2</v>
      </c>
      <c r="I13" s="242">
        <f t="shared" si="3"/>
        <v>4.3236969912424976E-2</v>
      </c>
      <c r="J13" s="242">
        <f t="shared" si="3"/>
        <v>2.0535945861225634E-3</v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246</v>
      </c>
      <c r="C14" s="243">
        <f>IF(C6="","",C9-C10-MAX(C11,0)-MAX(C12,0))</f>
        <v>353139.33333333331</v>
      </c>
      <c r="D14" s="243">
        <f t="shared" ref="D14:M14" si="4">IF(D6="","",D9-D10-MAX(D11,0)-MAX(D12,0))</f>
        <v>408585.33333333331</v>
      </c>
      <c r="E14" s="243">
        <f t="shared" si="4"/>
        <v>431327</v>
      </c>
      <c r="F14" s="243">
        <f t="shared" si="4"/>
        <v>318672</v>
      </c>
      <c r="G14" s="243">
        <f t="shared" si="4"/>
        <v>155584</v>
      </c>
      <c r="H14" s="243">
        <f t="shared" si="4"/>
        <v>127442</v>
      </c>
      <c r="I14" s="243">
        <f t="shared" si="4"/>
        <v>125028</v>
      </c>
      <c r="J14" s="243">
        <f t="shared" si="4"/>
        <v>6453</v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256</v>
      </c>
      <c r="C15" s="245">
        <f>IF(D14="","",IF(ABS(C14+D14)=ABS(C14)+ABS(D14),IF(C14&lt;0,-1,1)*(C14-D14)/D14,"Turn"))</f>
        <v>-0.13570237469773758</v>
      </c>
      <c r="D15" s="245">
        <f t="shared" ref="D15:M15" si="5">IF(E14="","",IF(ABS(D14+E14)=ABS(D14)+ABS(E14),IF(D14&lt;0,-1,1)*(D14-E14)/E14,"Turn"))</f>
        <v>-5.272488545040465E-2</v>
      </c>
      <c r="E15" s="245">
        <f t="shared" si="5"/>
        <v>0.35351395792539037</v>
      </c>
      <c r="F15" s="245">
        <f t="shared" si="5"/>
        <v>1.0482311805841218</v>
      </c>
      <c r="G15" s="245">
        <f t="shared" si="5"/>
        <v>0.22082202099778722</v>
      </c>
      <c r="H15" s="245">
        <f t="shared" si="5"/>
        <v>1.9307675080781905E-2</v>
      </c>
      <c r="I15" s="245">
        <f t="shared" si="5"/>
        <v>18.375174337517432</v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 t="str">
        <f>IF(Inputs!C25="","",Inputs!C25)</f>
        <v/>
      </c>
      <c r="D16" s="205" t="str">
        <f>IF(Inputs!D25="","",Inputs!D25)</f>
        <v/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13663</v>
      </c>
      <c r="D17" s="205">
        <f>IF(Inputs!D23="","",Inputs!D23)</f>
        <v>14612</v>
      </c>
      <c r="E17" s="205">
        <f>IF(Inputs!E23="","",Inputs!E23)</f>
        <v>12033</v>
      </c>
      <c r="F17" s="205">
        <f>IF(Inputs!F23="","",Inputs!F23)</f>
        <v>10203</v>
      </c>
      <c r="G17" s="205">
        <f>IF(Inputs!G23="","",Inputs!G23)</f>
        <v>14210</v>
      </c>
      <c r="H17" s="205">
        <f>IF(Inputs!H23="","",Inputs!H23)</f>
        <v>1959</v>
      </c>
      <c r="I17" s="205">
        <f>IF(Inputs!I23="","",Inputs!I23)</f>
        <v>1843</v>
      </c>
      <c r="J17" s="205">
        <f>IF(Inputs!J23="","",Inputs!J23)</f>
        <v>3730</v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 t="str">
        <f t="shared" ref="C18:M18" si="6">IF(OR(C6="",C19=""),"",C19/C6)</f>
        <v/>
      </c>
      <c r="D18" s="154" t="str">
        <f t="shared" si="6"/>
        <v/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 t="str">
        <f>IF(Inputs!C26="","",Inputs!C26)</f>
        <v/>
      </c>
      <c r="D19" s="205" t="str">
        <f>IF(Inputs!D26="","",Inputs!D26)</f>
        <v/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54">
        <f t="shared" ref="C20:M20" si="7">IF(C6="","",MAX(C21,0)/C6)</f>
        <v>0</v>
      </c>
      <c r="D20" s="154">
        <f t="shared" si="7"/>
        <v>0</v>
      </c>
      <c r="E20" s="154">
        <f t="shared" si="7"/>
        <v>0</v>
      </c>
      <c r="F20" s="154">
        <f t="shared" si="7"/>
        <v>0</v>
      </c>
      <c r="G20" s="154">
        <f t="shared" si="7"/>
        <v>0</v>
      </c>
      <c r="H20" s="154">
        <f t="shared" si="7"/>
        <v>0</v>
      </c>
      <c r="I20" s="154">
        <f t="shared" si="7"/>
        <v>0</v>
      </c>
      <c r="J20" s="154">
        <f t="shared" si="7"/>
        <v>0</v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 t="str">
        <f>IF(Inputs!C27="","",Inputs!C27)</f>
        <v/>
      </c>
      <c r="D21" s="205" t="str">
        <f>IF(Inputs!D27="","",Inputs!D27)</f>
        <v/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339476.33333333331</v>
      </c>
      <c r="D22" s="163">
        <f t="shared" ref="D22:M22" si="8">IF(D6="","",D14-MAX(D16,0)-MAX(D17,0)-ABS(MAX(D21,0)-MAX(D19,0)))</f>
        <v>393973.33333333331</v>
      </c>
      <c r="E22" s="163">
        <f t="shared" si="8"/>
        <v>419294</v>
      </c>
      <c r="F22" s="163">
        <f t="shared" si="8"/>
        <v>308469</v>
      </c>
      <c r="G22" s="163">
        <f t="shared" si="8"/>
        <v>141374</v>
      </c>
      <c r="H22" s="163">
        <f t="shared" si="8"/>
        <v>125483</v>
      </c>
      <c r="I22" s="163">
        <f t="shared" si="8"/>
        <v>123185</v>
      </c>
      <c r="J22" s="163">
        <f t="shared" si="8"/>
        <v>2723</v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6.9970921396806274E-2</v>
      </c>
      <c r="D23" s="155">
        <f t="shared" si="9"/>
        <v>7.9758640226934768E-2</v>
      </c>
      <c r="E23" s="155">
        <f t="shared" si="9"/>
        <v>8.6398358799200173E-2</v>
      </c>
      <c r="F23" s="155">
        <f t="shared" si="9"/>
        <v>6.6024628270027988E-2</v>
      </c>
      <c r="G23" s="155">
        <f t="shared" si="9"/>
        <v>4.5067907576158792E-2</v>
      </c>
      <c r="H23" s="155">
        <f t="shared" si="9"/>
        <v>3.8615159955095714E-2</v>
      </c>
      <c r="I23" s="155">
        <f t="shared" si="9"/>
        <v>3.1949720094671216E-2</v>
      </c>
      <c r="J23" s="155">
        <f t="shared" si="9"/>
        <v>6.4992306578472105E-4</v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>
        <f>IF(D24="","",IF(ABS(C24+D24)=ABS(C24)+ABS(D24),IF(C24&lt;0,-1,1)*(C24-D24)/D24,"Turn"))</f>
        <v>-0.13832662109110599</v>
      </c>
      <c r="D25" s="246">
        <f t="shared" ref="D25:M25" si="10">IF(E24="","",IF(ABS(D24+E24)=ABS(D24)+ABS(E24),IF(D24&lt;0,-1,1)*(D24-E24)/E24,"Turn"))</f>
        <v>-6.0388812305128783E-2</v>
      </c>
      <c r="E25" s="246">
        <f t="shared" si="10"/>
        <v>0.35927435171767663</v>
      </c>
      <c r="F25" s="246">
        <f t="shared" si="10"/>
        <v>1.1819358580785717</v>
      </c>
      <c r="G25" s="246">
        <f t="shared" si="10"/>
        <v>0.12663866818612879</v>
      </c>
      <c r="H25" s="246">
        <f t="shared" si="10"/>
        <v>1.8654868693428583E-2</v>
      </c>
      <c r="I25" s="246">
        <f t="shared" si="10"/>
        <v>44.238707308116048</v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5" t="str">
        <f>IF(Inputs!D31="","",Inputs!D31)</f>
        <v/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5" t="str">
        <f>IF(Inputs!D32="","",Inputs!D32)</f>
        <v/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0</v>
      </c>
      <c r="D36" s="205" t="str">
        <f>IF(Inputs!D35="","",Inputs!D35)</f>
        <v/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0</v>
      </c>
      <c r="D37" s="205" t="str">
        <f>IF(Inputs!D36="","",Inputs!D36)</f>
        <v/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0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 t="e">
        <f>IF(C6="","",C14/MAX(C39,0))</f>
        <v>#DIV/0!</v>
      </c>
      <c r="D40" s="157" t="e">
        <f>IF(D6="","",D14/MAX(D39,0))</f>
        <v>#DIV/0!</v>
      </c>
      <c r="E40" s="157" t="e">
        <f>IF(E6="","",E14/MAX(E39,0))</f>
        <v>#DIV/0!</v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0.68375747988736812</v>
      </c>
      <c r="D42" s="158">
        <f t="shared" si="34"/>
        <v>0.67913262073859615</v>
      </c>
      <c r="E42" s="158">
        <f t="shared" si="34"/>
        <v>0.67572574560948018</v>
      </c>
      <c r="F42" s="158">
        <f t="shared" si="34"/>
        <v>0.72542523991002339</v>
      </c>
      <c r="G42" s="158">
        <f t="shared" si="34"/>
        <v>0.72570592808295886</v>
      </c>
      <c r="H42" s="158">
        <f t="shared" si="34"/>
        <v>0.75259972164596523</v>
      </c>
      <c r="I42" s="158">
        <f t="shared" si="34"/>
        <v>0.79013152161433509</v>
      </c>
      <c r="J42" s="158">
        <f t="shared" si="34"/>
        <v>0.83824975058038786</v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5">
        <f t="shared" ref="C43:M43" si="35">IF(C6="","",(C10+MAX(C11,0))/C6)</f>
        <v>0.21895053202218998</v>
      </c>
      <c r="D43" s="155">
        <f t="shared" si="35"/>
        <v>0.21054521082404754</v>
      </c>
      <c r="E43" s="155">
        <f t="shared" si="35"/>
        <v>0.20562320627599406</v>
      </c>
      <c r="F43" s="155">
        <f t="shared" si="35"/>
        <v>0.18363012560994194</v>
      </c>
      <c r="G43" s="155">
        <f t="shared" si="35"/>
        <v>0.20816361575273848</v>
      </c>
      <c r="H43" s="155">
        <f t="shared" si="35"/>
        <v>0.19510960190121057</v>
      </c>
      <c r="I43" s="155">
        <f t="shared" si="35"/>
        <v>0.16663150847323988</v>
      </c>
      <c r="J43" s="155">
        <f t="shared" si="35"/>
        <v>0.15969665483348955</v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>
        <f t="shared" si="36"/>
        <v>0</v>
      </c>
      <c r="J44" s="155">
        <f t="shared" si="36"/>
        <v>0</v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3.7548526172941428E-3</v>
      </c>
      <c r="D45" s="155">
        <f t="shared" si="37"/>
        <v>3.9442035027615089E-3</v>
      </c>
      <c r="E45" s="155">
        <f t="shared" si="37"/>
        <v>3.3059744918228439E-3</v>
      </c>
      <c r="F45" s="155">
        <f t="shared" si="37"/>
        <v>2.9117967866640108E-3</v>
      </c>
      <c r="G45" s="155">
        <f t="shared" si="37"/>
        <v>6.039912729424236E-3</v>
      </c>
      <c r="H45" s="155">
        <f t="shared" si="37"/>
        <v>8.0379651269662036E-4</v>
      </c>
      <c r="I45" s="155">
        <f t="shared" si="37"/>
        <v>6.3734311953001909E-4</v>
      </c>
      <c r="J45" s="155">
        <f t="shared" si="37"/>
        <v>1.1870304984096019E-3</v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2.4257361073934199E-4</v>
      </c>
      <c r="D46" s="155">
        <f t="shared" ref="D46:M46" si="38">IF(D6="","",MAX(D12,0)/D6)</f>
        <v>3.3111298681819405E-5</v>
      </c>
      <c r="E46" s="155">
        <f t="shared" si="38"/>
        <v>1.4726189043605455E-4</v>
      </c>
      <c r="F46" s="155">
        <f t="shared" si="38"/>
        <v>0</v>
      </c>
      <c r="G46" s="155">
        <f t="shared" si="38"/>
        <v>0</v>
      </c>
      <c r="H46" s="155">
        <f t="shared" si="38"/>
        <v>0</v>
      </c>
      <c r="I46" s="155">
        <f t="shared" si="38"/>
        <v>0</v>
      </c>
      <c r="J46" s="155">
        <f t="shared" si="38"/>
        <v>0</v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5">
        <f>IF(C6="","",ABS(MAX(C21,0)-MAX(C19,0))/C6)</f>
        <v>0</v>
      </c>
      <c r="D47" s="155">
        <f t="shared" ref="D47:M47" si="39">IF(D6="","",ABS(MAX(D21,0)-MAX(D19,0))/D6)</f>
        <v>0</v>
      </c>
      <c r="E47" s="155">
        <f t="shared" si="39"/>
        <v>0</v>
      </c>
      <c r="F47" s="155">
        <f t="shared" si="39"/>
        <v>0</v>
      </c>
      <c r="G47" s="155">
        <f t="shared" si="39"/>
        <v>0</v>
      </c>
      <c r="H47" s="155">
        <f t="shared" si="39"/>
        <v>0</v>
      </c>
      <c r="I47" s="155">
        <f t="shared" si="39"/>
        <v>0</v>
      </c>
      <c r="J47" s="155">
        <f t="shared" si="39"/>
        <v>0</v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9.3294561862408365E-2</v>
      </c>
      <c r="D48" s="155">
        <f t="shared" si="40"/>
        <v>0.10634485363591302</v>
      </c>
      <c r="E48" s="155">
        <f t="shared" si="40"/>
        <v>0.1151978117322669</v>
      </c>
      <c r="F48" s="155">
        <f t="shared" si="40"/>
        <v>8.8032837693370641E-2</v>
      </c>
      <c r="G48" s="155">
        <f t="shared" si="40"/>
        <v>6.0090543434878393E-2</v>
      </c>
      <c r="H48" s="155">
        <f t="shared" si="40"/>
        <v>5.1486879940127621E-2</v>
      </c>
      <c r="I48" s="155">
        <f t="shared" si="40"/>
        <v>4.2599626792894953E-2</v>
      </c>
      <c r="J48" s="155">
        <f t="shared" si="40"/>
        <v>8.6656408771296136E-4</v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0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0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 t="e">
        <f>IF(C36="","",(C27-C36)/C27)</f>
        <v>#DIV/0!</v>
      </c>
      <c r="D53" s="158" t="str">
        <f t="shared" ref="D53:M53" si="43">IF(D36="","",(D27-D36)/D27)</f>
        <v/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 t="str">
        <f t="shared" ref="C54:M54" si="44">IF(OR(C22="",C35=""),"",IF(C35&lt;=0,"-",C22/C35))</f>
        <v>-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4.0247282824821366E-2</v>
      </c>
      <c r="D55" s="155">
        <f t="shared" si="45"/>
        <v>3.7088804656829566E-2</v>
      </c>
      <c r="E55" s="155">
        <f t="shared" si="45"/>
        <v>2.8698240375488321E-2</v>
      </c>
      <c r="F55" s="155">
        <f t="shared" si="45"/>
        <v>3.307625725761746E-2</v>
      </c>
      <c r="G55" s="155">
        <f t="shared" si="45"/>
        <v>0.10051353148386549</v>
      </c>
      <c r="H55" s="155">
        <f t="shared" si="45"/>
        <v>1.5611676482073268E-2</v>
      </c>
      <c r="I55" s="155">
        <f t="shared" si="45"/>
        <v>1.49612371636157E-2</v>
      </c>
      <c r="J55" s="155">
        <f t="shared" si="45"/>
        <v>1.3698127065736321</v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 t="e">
        <f t="shared" ref="C56:M56" si="46">IF(C28="","",C28/C31)</f>
        <v>#DIV/0!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11" zoomScaleNormal="100" workbookViewId="0">
      <selection activeCell="H100" sqref="H10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4">
        <f>Inputs!D40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117</v>
      </c>
      <c r="C13" s="40">
        <f>Inputs!C42</f>
        <v>0</v>
      </c>
      <c r="D13" s="204">
        <f>Inputs!D42</f>
        <v>0.6</v>
      </c>
      <c r="E13" s="88">
        <f t="shared" si="0"/>
        <v>0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4">
        <f>Inputs!D47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4">
        <f>Inputs!D50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12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0</v>
      </c>
      <c r="D38" s="204">
        <f>Inputs!D60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4">
        <f>Inputs!D63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3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0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45382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3638758</v>
      </c>
      <c r="D74" s="215"/>
      <c r="E74" s="202">
        <f>H74</f>
        <v>3638758</v>
      </c>
      <c r="F74" s="215"/>
      <c r="H74" s="202">
        <f>C74</f>
        <v>3638758</v>
      </c>
      <c r="I74" s="215"/>
      <c r="K74" s="24"/>
    </row>
    <row r="75" spans="1:11" ht="15" customHeight="1" x14ac:dyDescent="0.15">
      <c r="B75" s="104" t="s">
        <v>106</v>
      </c>
      <c r="C75" s="77">
        <f>Data!C8</f>
        <v>2488028</v>
      </c>
      <c r="D75" s="161">
        <f>C75/$C$74</f>
        <v>0.68375747988736812</v>
      </c>
      <c r="E75" s="202">
        <f>E74*D75</f>
        <v>2488028</v>
      </c>
      <c r="F75" s="162">
        <f>E75/E74</f>
        <v>0.68375747988736812</v>
      </c>
      <c r="H75" s="202">
        <f>H74*D75</f>
        <v>2488028</v>
      </c>
      <c r="I75" s="162">
        <f>H75/$H$74</f>
        <v>0.68375747988736812</v>
      </c>
      <c r="K75" s="24"/>
    </row>
    <row r="76" spans="1:11" ht="15" customHeight="1" x14ac:dyDescent="0.15">
      <c r="B76" s="35" t="s">
        <v>96</v>
      </c>
      <c r="C76" s="163">
        <f>C74-C75</f>
        <v>1150730</v>
      </c>
      <c r="D76" s="216"/>
      <c r="E76" s="164">
        <f>E74-E75</f>
        <v>1150730</v>
      </c>
      <c r="F76" s="216"/>
      <c r="H76" s="164">
        <f>H74-H75</f>
        <v>1150730</v>
      </c>
      <c r="I76" s="216"/>
      <c r="K76" s="24"/>
    </row>
    <row r="77" spans="1:11" ht="15" customHeight="1" x14ac:dyDescent="0.15">
      <c r="B77" s="104" t="s">
        <v>262</v>
      </c>
      <c r="C77" s="77">
        <f>Data!C10+MAX(Data!C11,0)</f>
        <v>796708</v>
      </c>
      <c r="D77" s="161">
        <f>C77/$C$74</f>
        <v>0.21895053202218998</v>
      </c>
      <c r="E77" s="202">
        <f>E74*I77</f>
        <v>796708</v>
      </c>
      <c r="F77" s="162">
        <f>E77/E74</f>
        <v>0.21895053202218998</v>
      </c>
      <c r="H77" s="202">
        <f>H74*D77</f>
        <v>796708</v>
      </c>
      <c r="I77" s="162">
        <f>H77/$H$74</f>
        <v>0.21895053202218998</v>
      </c>
      <c r="K77" s="24"/>
    </row>
    <row r="78" spans="1:11" ht="15" customHeight="1" x14ac:dyDescent="0.15">
      <c r="B78" s="35" t="s">
        <v>245</v>
      </c>
      <c r="C78" s="163">
        <f>C76-C77</f>
        <v>354022</v>
      </c>
      <c r="D78" s="216"/>
      <c r="E78" s="164">
        <f>E76-E77</f>
        <v>354022</v>
      </c>
      <c r="F78" s="216"/>
      <c r="H78" s="164">
        <f>H76-H77</f>
        <v>354022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13663</v>
      </c>
      <c r="D79" s="161">
        <f>C79/$C$74</f>
        <v>3.7548526172941428E-3</v>
      </c>
      <c r="E79" s="183">
        <f>E74*F79</f>
        <v>13663</v>
      </c>
      <c r="F79" s="162">
        <f t="shared" ref="F79:F84" si="3">I79</f>
        <v>3.7548526172941428E-3</v>
      </c>
      <c r="H79" s="202">
        <f>H74*D79</f>
        <v>13663</v>
      </c>
      <c r="I79" s="162">
        <f>H79/$H$74</f>
        <v>3.7548526172941428E-3</v>
      </c>
      <c r="K79" s="24"/>
    </row>
    <row r="80" spans="1:11" ht="15" customHeight="1" x14ac:dyDescent="0.15">
      <c r="B80" s="28" t="s">
        <v>261</v>
      </c>
      <c r="C80" s="77">
        <f>MAX(MAX(Data!C21,0)-MAX(Data!C19,0),0)</f>
        <v>0</v>
      </c>
      <c r="D80" s="161">
        <f>C80/$C$74</f>
        <v>0</v>
      </c>
      <c r="E80" s="202">
        <f>E74*I80</f>
        <v>0</v>
      </c>
      <c r="F80" s="162">
        <f>E80/E74</f>
        <v>0</v>
      </c>
      <c r="H80" s="202">
        <f>H74*D80</f>
        <v>0</v>
      </c>
      <c r="I80" s="162">
        <f>H80/$H$74</f>
        <v>0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f>H74*D81</f>
        <v>0</v>
      </c>
      <c r="I81" s="162">
        <f>H81/$H$74</f>
        <v>0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882.66666666666663</v>
      </c>
      <c r="D82" s="161">
        <f>C82/$C$74</f>
        <v>2.4257361073934199E-4</v>
      </c>
      <c r="E82" s="183">
        <f>E74*F82</f>
        <v>882.66666666666663</v>
      </c>
      <c r="F82" s="162">
        <f t="shared" si="3"/>
        <v>2.4257361073934199E-4</v>
      </c>
      <c r="H82" s="202">
        <f>H74*D82</f>
        <v>882.66666666666663</v>
      </c>
      <c r="I82" s="162">
        <f>H82/$H$74</f>
        <v>2.4257361073934199E-4</v>
      </c>
      <c r="K82" s="24"/>
    </row>
    <row r="83" spans="1:11" ht="15" customHeight="1" thickBot="1" x14ac:dyDescent="0.2">
      <c r="B83" s="105" t="s">
        <v>128</v>
      </c>
      <c r="C83" s="165">
        <f>C78-C79-C80-C81-C82</f>
        <v>339476.33333333331</v>
      </c>
      <c r="D83" s="166">
        <f>C83/$C$74</f>
        <v>9.3294561862408365E-2</v>
      </c>
      <c r="E83" s="167">
        <f>E78-E79-E80-E81-E82</f>
        <v>339476.33333333331</v>
      </c>
      <c r="F83" s="166">
        <f>E83/E74</f>
        <v>9.3294561862408365E-2</v>
      </c>
      <c r="H83" s="167">
        <f>H78-H79-H80-H81-H82</f>
        <v>339476.33333333331</v>
      </c>
      <c r="I83" s="166">
        <f>H83/$H$74</f>
        <v>9.3294561862408365E-2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>
        <f>C83*(1-I84)</f>
        <v>254607.25</v>
      </c>
      <c r="D85" s="168">
        <f>C85/$C$74</f>
        <v>6.9970921396806274E-2</v>
      </c>
      <c r="E85" s="169">
        <f>E83*(1-F84)</f>
        <v>254607.25</v>
      </c>
      <c r="F85" s="168">
        <f>E85/E74</f>
        <v>6.9970921396806274E-2</v>
      </c>
      <c r="H85" s="169">
        <f>H83*(1-I84)</f>
        <v>254607.25</v>
      </c>
      <c r="I85" s="168">
        <f>H85/$H$74</f>
        <v>6.9970921396806274E-2</v>
      </c>
      <c r="K85" s="24"/>
    </row>
    <row r="86" spans="1:11" ht="15" customHeight="1" x14ac:dyDescent="0.15">
      <c r="B86" s="87" t="s">
        <v>165</v>
      </c>
      <c r="C86" s="170">
        <f>C85*Data!C4/Common_Shares</f>
        <v>0.52242321451007256</v>
      </c>
      <c r="D86" s="215"/>
      <c r="E86" s="171">
        <f>E85*Data!C4/Common_Shares</f>
        <v>0.52242321451007256</v>
      </c>
      <c r="F86" s="215"/>
      <c r="H86" s="171">
        <f>H85*Data!C4/Common_Shares</f>
        <v>0.52242321451007256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0.14157810691329881</v>
      </c>
      <c r="D87" s="215"/>
      <c r="E87" s="233">
        <f>E86*Exchange_Rate/Dashboard!G3</f>
        <v>0.14157810691329881</v>
      </c>
      <c r="F87" s="215"/>
      <c r="H87" s="233">
        <f>H86*Exchange_Rate/Dashboard!G3</f>
        <v>0.14157810691329881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0.30399999999999999</v>
      </c>
      <c r="D88" s="168">
        <f>C88/C86</f>
        <v>0.58190369714923673</v>
      </c>
      <c r="E88" s="201">
        <f>H88</f>
        <v>0.11899999999999999</v>
      </c>
      <c r="F88" s="168">
        <f>E88/E86</f>
        <v>0.2277846709235499</v>
      </c>
      <c r="H88" s="173">
        <f>Inputs!F6</f>
        <v>0.11899999999999999</v>
      </c>
      <c r="I88" s="168">
        <f>H88/H86</f>
        <v>0.2277846709235499</v>
      </c>
      <c r="K88" s="24"/>
    </row>
    <row r="89" spans="1:11" ht="15" customHeight="1" x14ac:dyDescent="0.15">
      <c r="B89" s="87" t="s">
        <v>231</v>
      </c>
      <c r="C89" s="162">
        <f>C88*Exchange_Rate/Dashboard!G3</f>
        <v>8.2384823848238475E-2</v>
      </c>
      <c r="D89" s="215"/>
      <c r="E89" s="162">
        <f>E88*Exchange_Rate/Dashboard!G3</f>
        <v>3.224932249322493E-2</v>
      </c>
      <c r="F89" s="215"/>
      <c r="H89" s="162">
        <f>H88*Exchange_Rate/Dashboard!G3</f>
        <v>3.224932249322493E-2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15.346406162346511</v>
      </c>
      <c r="H93" s="87" t="s">
        <v>217</v>
      </c>
      <c r="I93" s="145">
        <f>FV(H87,D93,0,-(H86/C93))</f>
        <v>15.346406162346511</v>
      </c>
      <c r="K93" s="24"/>
    </row>
    <row r="94" spans="1:11" ht="15" customHeight="1" x14ac:dyDescent="0.15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2.1131292343374666</v>
      </c>
      <c r="H94" s="87" t="s">
        <v>218</v>
      </c>
      <c r="I94" s="145">
        <f>FV(H89,D93,0,-(H88/C93))</f>
        <v>2.1131292343374666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5433366.0373257408</v>
      </c>
      <c r="D97" s="219"/>
      <c r="E97" s="123">
        <f>PV(C93,D93,0,-F93)*Exchange_Rate</f>
        <v>11.148608497321142</v>
      </c>
      <c r="F97" s="219"/>
      <c r="H97" s="123">
        <f>PV(C93,D93,0,-I93)*Exchange_Rate</f>
        <v>11.148608497321142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0</v>
      </c>
      <c r="D99" s="220"/>
      <c r="E99" s="147">
        <f>IF(H99&gt;0,H99*0.85,H99*1.15)</f>
        <v>0</v>
      </c>
      <c r="F99" s="220"/>
      <c r="H99" s="147">
        <f>C99*Data!$C$4/Common_Shares</f>
        <v>0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5433366.0373257408</v>
      </c>
      <c r="D100" s="109">
        <f>F100*(1-C94)</f>
        <v>9.4763172227229706</v>
      </c>
      <c r="E100" s="109">
        <f>MAX(E97-H98+E99,0)</f>
        <v>11.148608497321142</v>
      </c>
      <c r="F100" s="109">
        <f>(E100+H100)/2</f>
        <v>11.148608497321142</v>
      </c>
      <c r="H100" s="109">
        <f>MAX(C100*Data!$C$4/Common_Shares,0)</f>
        <v>11.148608497321142</v>
      </c>
      <c r="I100" s="109">
        <f>F100*1.25</f>
        <v>13.935760621651427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748149.40337626229</v>
      </c>
      <c r="D103" s="109">
        <f>F103*(1-C94)</f>
        <v>1.304845104798771</v>
      </c>
      <c r="E103" s="123">
        <f>PV(C93,D93,0,-F94)*Exchange_Rate</f>
        <v>1.5351118879985541</v>
      </c>
      <c r="F103" s="109">
        <f>(E103+H103)/2</f>
        <v>1.5351118879985541</v>
      </c>
      <c r="H103" s="123">
        <f>PV(C93,D93,0,-I94)*Exchange_Rate</f>
        <v>1.5351118879985541</v>
      </c>
      <c r="I103" s="109">
        <f>F103*1.25</f>
        <v>1.9188898599981927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3090757.7203510012</v>
      </c>
      <c r="D106" s="109">
        <f>(D100+D103)/2</f>
        <v>5.3905811637608707</v>
      </c>
      <c r="E106" s="123">
        <f>(E100+E103)/2</f>
        <v>6.3418601926598477</v>
      </c>
      <c r="F106" s="109">
        <f>(F100+F103)/2</f>
        <v>6.3418601926598477</v>
      </c>
      <c r="H106" s="123">
        <f>(H100+H103)/2</f>
        <v>6.3418601926598477</v>
      </c>
      <c r="I106" s="123">
        <f>(I100+I103)/2</f>
        <v>7.9273252408248105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2024-11-23T15:44:22Z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