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CD77831E-4369-9D40-ACDB-D7AFCD498AD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3" i="2" l="1"/>
  <c r="J21" i="4"/>
  <c r="I21" i="4"/>
  <c r="H21" i="4"/>
  <c r="G21" i="4"/>
  <c r="F21" i="4" l="1"/>
  <c r="E21" i="4"/>
  <c r="E88" i="3" l="1"/>
  <c r="F6" i="4"/>
  <c r="F5" i="4"/>
  <c r="K22" i="2" l="1"/>
  <c r="L22" i="2"/>
  <c r="M22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J47" i="2" l="1"/>
  <c r="I47" i="2"/>
  <c r="H47" i="2"/>
  <c r="G47" i="2"/>
  <c r="F47" i="2"/>
  <c r="E47" i="2"/>
  <c r="C47" i="2"/>
  <c r="D47" i="2"/>
  <c r="M14" i="2"/>
  <c r="M46" i="2"/>
  <c r="J46" i="2"/>
  <c r="L46" i="2"/>
  <c r="L14" i="2"/>
  <c r="K15" i="2" s="1"/>
  <c r="K46" i="2"/>
  <c r="K14" i="2"/>
  <c r="J15" i="2" s="1"/>
  <c r="I46" i="2"/>
  <c r="H46" i="2"/>
  <c r="F46" i="2"/>
  <c r="G46" i="2"/>
  <c r="G14" i="2"/>
  <c r="G22" i="2" s="1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K7" i="2"/>
  <c r="C9" i="2"/>
  <c r="C14" i="2" s="1"/>
  <c r="C22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H22" i="2" l="1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D103" i="3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<sst xmlns="http://schemas.openxmlformats.org/spreadsheetml/2006/main" count="371" uniqueCount="266">
  <si>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</si>
  <si>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</si>
  <si>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</si>
  <si>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</si>
  <si>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</si>
  <si>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</si>
  <si>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</si>
  <si>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</si>
  <si>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</si>
  <si>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</si>
  <si>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</si>
  <si>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</si>
  <si>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</si>
  <si>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</si>
  <si>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</si>
  <si>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</si>
  <si>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</si>
  <si>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</si>
  <si>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</si>
  <si>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</si>
  <si>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</si>
  <si>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</si>
  <si>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</si>
  <si>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</si>
  <si>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</si>
  <si>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</si>
  <si>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</si>
  <si>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</si>
  <si>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</si>
  <si>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</si>
  <si>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</si>
  <si>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</si>
  <si>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</si>
  <si>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</si>
  <si>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</si>
  <si>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</si>
  <si>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</si>
  <si>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</si>
  <si>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</si>
  <si>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</si>
  <si>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</si>
  <si>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</si>
  <si>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</si>
  <si>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</si>
  <si>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</si>
  <si>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</si>
  <si>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</si>
  <si>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</si>
  <si>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</si>
  <si>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</si>
  <si>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</si>
  <si>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</si>
  <si>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</si>
  <si>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</si>
  <si>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</si>
  <si>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</si>
  <si>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</si>
  <si>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</si>
  <si>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</si>
  <si>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</si>
  <si>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</si>
  <si>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</si>
  <si>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</si>
  <si>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</si>
  <si>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</si>
  <si>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</si>
  <si>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</si>
  <si>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</si>
  <si>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</si>
  <si>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</si>
  <si>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</si>
  <si>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</si>
  <si>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</si>
  <si>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</si>
  <si>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</si>
  <si>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</si>
  <si>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</si>
  <si>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</si>
  <si>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</si>
  <si>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</si>
  <si>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</si>
  <si>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</si>
  <si>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</si>
  <si>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</si>
  <si>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</si>
  <si>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</si>
  <si>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</si>
  <si>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</si>
  <si>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</si>
  <si>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</si>
  <si>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</si>
  <si>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</si>
  <si>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</si>
  <si>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</si>
  <si>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</si>
  <si>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</si>
  <si>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</si>
  <si>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</si>
  <si>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</si>
  <si>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</si>
  <si>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</si>
  <si>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</si>
  <si>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</si>
  <si>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</si>
  <si>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</si>
  <si>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</si>
  <si>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</si>
  <si>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</si>
  <si>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</si>
  <si>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</si>
  <si>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</si>
  <si>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</si>
  <si>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</si>
  <si>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</si>
  <si>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</si>
  <si>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</si>
  <si>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</si>
  <si>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</si>
  <si>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</si>
  <si>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</si>
  <si>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</si>
  <si>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</si>
  <si>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</si>
  <si>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</si>
  <si>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</si>
  <si>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</si>
  <si>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</si>
  <si>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</si>
  <si>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</si>
  <si>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</si>
  <si>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</si>
  <si>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</si>
  <si>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</si>
  <si>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</si>
  <si>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</si>
  <si>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</si>
  <si>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</si>
  <si>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</si>
  <si>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</si>
  <si>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</si>
  <si>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</si>
  <si>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</si>
  <si>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</si>
  <si>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</si>
  <si>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</si>
  <si>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</si>
  <si>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</si>
  <si>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</si>
  <si>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</si>
  <si>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</si>
  <si>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</si>
  <si>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</si>
  <si>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</si>
  <si>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</si>
  <si>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</si>
  <si>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</si>
  <si>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</si>
  <si>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</si>
  <si>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</si>
  <si>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</si>
  <si>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</si>
  <si>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</si>
  <si>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</si>
  <si>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</si>
  <si>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</si>
  <si>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</si>
  <si>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</si>
  <si>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</si>
  <si>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</si>
  <si>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</si>
  <si>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</si>
  <si>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</si>
  <si>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</si>
  <si>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</si>
  <si>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</si>
  <si>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</si>
  <si>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</si>
  <si>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</si>
  <si>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</si>
  <si>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</si>
  <si>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</si>
  <si>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</si>
  <si>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</si>
  <si>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</si>
  <si>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</si>
  <si>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</si>
  <si>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</si>
  <si>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</si>
  <si>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</si>
  <si>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</si>
  <si>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</si>
  <si>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</si>
  <si>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</si>
  <si>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</si>
  <si>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</si>
  <si>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</si>
  <si>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</si>
  <si>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</si>
  <si>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</si>
  <si>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</si>
  <si>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</si>
  <si>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</si>
  <si>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</si>
  <si>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</si>
  <si>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</si>
  <si>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</si>
  <si>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</si>
  <si>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</si>
  <si>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</si>
  <si>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</si>
  <si>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</si>
  <si>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</si>
  <si>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</si>
  <si>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</si>
  <si>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</si>
  <si>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</si>
  <si>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</si>
  <si>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</si>
  <si>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</si>
  <si>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</si>
  <si>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</si>
  <si>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</si>
  <si>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</si>
  <si>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</si>
  <si>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</si>
  <si>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</si>
  <si>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</si>
  <si>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</si>
  <si>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</si>
  <si>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</si>
  <si>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</si>
  <si>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</si>
  <si>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</si>
  <si>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</si>
  <si>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</si>
  <si>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</si>
  <si>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</si>
  <si>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</si>
  <si>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</si>
  <si>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</si>
  <si>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</si>
  <si>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</si>
  <si>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</si>
  <si>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</si>
  <si>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</si>
  <si>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</si>
  <si>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</si>
  <si>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</si>
  <si>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</si>
  <si>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</si>
  <si>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</si>
  <si>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</si>
  <si>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</si>
  <si>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</si>
  <si>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</si>
  <si>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</si>
  <si>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</si>
  <si>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</si>
  <si>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</si>
  <si>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</si>
  <si>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</si>
  <si>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</si>
  <si>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</si>
  <si>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周大福</t>
  </si>
  <si>
    <t>1929.HK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</si>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</sst>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6.4812855868203439E-3</c:v>
                </c:pt>
                <c:pt idx="3">
                  <c:v>0</c:v>
                </c:pt>
                <c:pt idx="4">
                  <c:v>0</c:v>
                </c:pt>
                <c:pt idx="5">
                  <c:v>1.3233621247382252E-3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="161" zoomScaleNormal="100" workbookViewId="0">
      <selection activeCell="J25" sqref="J25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264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263</v>
      </c>
      <c r="E5" s="228">
        <f>C18</f>
        <v>45381</v>
      </c>
      <c r="F5" s="229">
        <f>0.3+0.25</f>
        <v>0.55000000000000004</v>
      </c>
    </row>
    <row r="6" spans="1:6" ht="14" x14ac:dyDescent="0.15">
      <c r="B6" s="141" t="s">
        <v>168</v>
      </c>
      <c r="C6" s="193">
        <v>45593</v>
      </c>
      <c r="E6" s="230" t="s">
        <v>213</v>
      </c>
      <c r="F6" s="229">
        <f>F5</f>
        <v>0.55000000000000004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257</v>
      </c>
    </row>
    <row r="10" spans="1:6" ht="14" x14ac:dyDescent="0.15">
      <c r="B10" s="140" t="s">
        <v>226</v>
      </c>
      <c r="C10" s="197">
        <v>9987736800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45381</v>
      </c>
    </row>
    <row r="13" spans="1:6" ht="14" x14ac:dyDescent="0.15">
      <c r="B13" s="224" t="s">
        <v>11</v>
      </c>
      <c r="C13" s="226">
        <v>1000000</v>
      </c>
    </row>
    <row r="14" spans="1:6" ht="14" x14ac:dyDescent="0.15">
      <c r="B14" s="224" t="s">
        <v>229</v>
      </c>
      <c r="C14" s="225">
        <v>45381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5" x14ac:dyDescent="0.15">
      <c r="B19" s="94" t="s">
        <v>12</v>
      </c>
      <c r="C19" s="151">
        <v>108713</v>
      </c>
      <c r="D19" s="151">
        <v>94684.4</v>
      </c>
      <c r="E19" s="151">
        <v>98937.7</v>
      </c>
      <c r="F19" s="151">
        <v>70163.8</v>
      </c>
      <c r="G19" s="151">
        <v>56750.8</v>
      </c>
      <c r="H19" s="151">
        <v>66660.899999999994</v>
      </c>
      <c r="I19" s="151">
        <v>59156.4</v>
      </c>
      <c r="J19" s="151">
        <v>51245.5</v>
      </c>
      <c r="K19" s="151"/>
      <c r="L19" s="151"/>
      <c r="M19" s="151"/>
    </row>
    <row r="20" spans="2:13" ht="15" x14ac:dyDescent="0.15">
      <c r="B20" s="97" t="s">
        <v>106</v>
      </c>
      <c r="C20" s="152">
        <v>86428</v>
      </c>
      <c r="D20" s="152">
        <v>73512.899999999994</v>
      </c>
      <c r="E20" s="152">
        <v>76598</v>
      </c>
      <c r="F20" s="152">
        <v>50089.1</v>
      </c>
      <c r="G20" s="152">
        <v>40654.6</v>
      </c>
      <c r="H20" s="152">
        <v>48059.1</v>
      </c>
      <c r="I20" s="152">
        <v>42943</v>
      </c>
      <c r="J20" s="152">
        <v>36282.800000000003</v>
      </c>
      <c r="K20" s="152"/>
      <c r="L20" s="152"/>
      <c r="M20" s="152"/>
    </row>
    <row r="21" spans="2:13" ht="15" x14ac:dyDescent="0.15">
      <c r="B21" s="97" t="s">
        <v>104</v>
      </c>
      <c r="C21" s="152">
        <v>13300.2</v>
      </c>
      <c r="D21" s="152">
        <v>13695.699999999999</v>
      </c>
      <c r="E21" s="152">
        <f>10522.1+3441.9+39.8</f>
        <v>14003.8</v>
      </c>
      <c r="F21" s="152">
        <f>8634.9+3213.7+39.8</f>
        <v>11888.399999999998</v>
      </c>
      <c r="G21" s="152">
        <f>8689.7+2867.1+39.8</f>
        <v>11596.6</v>
      </c>
      <c r="H21" s="152">
        <f>9037.8+2986.7+39.8</f>
        <v>12064.3</v>
      </c>
      <c r="I21" s="152">
        <f>8238.7+2681.6+39.8</f>
        <v>10960.1</v>
      </c>
      <c r="J21" s="152">
        <f>8011.3+2296+39.8</f>
        <v>10347.099999999999</v>
      </c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704.6</v>
      </c>
      <c r="D23" s="152">
        <v>585.4</v>
      </c>
      <c r="E23" s="152">
        <v>337.7</v>
      </c>
      <c r="F23" s="152">
        <v>376</v>
      </c>
      <c r="G23" s="152">
        <v>559.6</v>
      </c>
      <c r="H23" s="152">
        <v>370.3</v>
      </c>
      <c r="I23" s="152">
        <v>243.7</v>
      </c>
      <c r="J23" s="152">
        <v>236.6</v>
      </c>
      <c r="K23" s="152"/>
      <c r="L23" s="152"/>
      <c r="M23" s="152"/>
    </row>
    <row r="24" spans="2:13" ht="14" x14ac:dyDescent="0.15">
      <c r="B24" s="99" t="s">
        <v>111</v>
      </c>
      <c r="C24" s="152">
        <v>107.9</v>
      </c>
      <c r="D24" s="152">
        <v>105.1</v>
      </c>
      <c r="E24" s="152">
        <v>167.6</v>
      </c>
      <c r="F24" s="152">
        <v>149.69999999999999</v>
      </c>
      <c r="G24" s="152">
        <v>82.1</v>
      </c>
      <c r="H24" s="152">
        <v>107.2</v>
      </c>
      <c r="I24" s="152">
        <v>108.4</v>
      </c>
      <c r="J24" s="152">
        <v>95.8</v>
      </c>
      <c r="K24" s="152"/>
      <c r="L24" s="152"/>
      <c r="M24" s="152"/>
    </row>
    <row r="25" spans="2:13" ht="15" x14ac:dyDescent="0.15">
      <c r="B25" s="97" t="s">
        <v>110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/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/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/>
      <c r="D46" s="60">
        <v>0.1</v>
      </c>
      <c r="E46" s="112"/>
    </row>
    <row r="47" spans="2:13" ht="14" x14ac:dyDescent="0.15">
      <c r="B47" s="3" t="s">
        <v>47</v>
      </c>
      <c r="C47" s="59"/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/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/>
      <c r="D62" s="60">
        <v>0.05</v>
      </c>
      <c r="E62" s="112"/>
    </row>
    <row r="63" spans="2:5" ht="14" x14ac:dyDescent="0.15">
      <c r="B63" s="3" t="s">
        <v>75</v>
      </c>
      <c r="C63" s="59"/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0" sqref="C2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1929.HK</v>
      </c>
      <c r="D3" s="253"/>
      <c r="E3" s="87"/>
      <c r="F3" s="3" t="s">
        <v>1</v>
      </c>
      <c r="G3" s="132">
        <v>7.08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周大福</v>
      </c>
      <c r="D4" s="255"/>
      <c r="E4" s="87"/>
      <c r="F4" s="3" t="s">
        <v>3</v>
      </c>
      <c r="G4" s="258">
        <f>Inputs!C10</f>
        <v>9987736800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70713.176544000002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0.79501071628968012</v>
      </c>
      <c r="F20" s="87" t="s">
        <v>219</v>
      </c>
      <c r="G20" s="175">
        <v>0.15</v>
      </c>
    </row>
    <row r="21" spans="1:8" ht="15.75" customHeight="1" x14ac:dyDescent="0.15">
      <c r="B21" s="137" t="s">
        <v>259</v>
      </c>
      <c r="C21" s="174">
        <f>Fin_Analysis!I77</f>
        <v>0.12234231416665901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6.4812855868203439E-3</v>
      </c>
      <c r="F22" s="142" t="s">
        <v>191</v>
      </c>
    </row>
    <row r="23" spans="1:8" ht="15.75" customHeight="1" x14ac:dyDescent="0.15">
      <c r="B23" s="137" t="s">
        <v>258</v>
      </c>
      <c r="C23" s="174">
        <f>Fin_Analysis!I80</f>
        <v>0</v>
      </c>
      <c r="F23" s="140" t="s">
        <v>195</v>
      </c>
      <c r="G23" s="180" t="e">
        <f>G3/(Data!C36*Data!C4/Common_Shares*Exchange_Rate)</f>
        <v>#DIV/0!</v>
      </c>
    </row>
    <row r="24" spans="1:8" ht="15.75" customHeight="1" x14ac:dyDescent="0.15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8.6295798014433475E-2</v>
      </c>
    </row>
    <row r="25" spans="1:8" ht="15.75" customHeight="1" x14ac:dyDescent="0.15">
      <c r="B25" s="137" t="s">
        <v>199</v>
      </c>
      <c r="C25" s="174">
        <f>Fin_Analysis!I82</f>
        <v>1.3233621247382252E-3</v>
      </c>
      <c r="F25" s="140" t="s">
        <v>179</v>
      </c>
      <c r="G25" s="174">
        <f>Fin_Analysis!I88</f>
        <v>0.90020160432627339</v>
      </c>
    </row>
    <row r="26" spans="1:8" ht="15.75" customHeight="1" x14ac:dyDescent="0.15">
      <c r="B26" s="138" t="s">
        <v>178</v>
      </c>
      <c r="C26" s="174">
        <f>Fin_Analysis!I83</f>
        <v>7.4842321832102252E-2</v>
      </c>
      <c r="F26" s="141" t="s">
        <v>201</v>
      </c>
      <c r="G26" s="181">
        <f>Fin_Analysis!H88*Exchange_Rate/G3</f>
        <v>7.7683615819209045E-2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6.5225517146373377</v>
      </c>
      <c r="D29" s="129">
        <f>IF(Fin_Analysis!C108="Profit",Fin_Analysis!I100,IF(Fin_Analysis!C108="Dividend",Fin_Analysis!I103,Fin_Analysis!I106))</f>
        <v>9.5919878156431437</v>
      </c>
      <c r="E29" s="87"/>
      <c r="F29" s="131">
        <f>IF(Fin_Analysis!C108="Profit",Fin_Analysis!F100,IF(Fin_Analysis!C108="Dividend",Fin_Analysis!F103,Fin_Analysis!F106))</f>
        <v>7.673590252514515</v>
      </c>
      <c r="G29" s="249">
        <f>IF(Fin_Analysis!C108="Profit",Fin_Analysis!E100,IF(Fin_Analysis!C108="Dividend",Fin_Analysis!E103,Fin_Analysis!E106))</f>
        <v>6.5470496132836891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260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243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="125" zoomScaleNormal="100" workbookViewId="0">
      <pane xSplit="2" topLeftCell="C1" activePane="topRight" state="frozen"/>
      <selection activeCell="A4" sqref="A4"/>
      <selection pane="topRight" activeCell="H4" sqref="H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45381</v>
      </c>
      <c r="E3" s="148" t="s">
        <v>208</v>
      </c>
      <c r="F3" s="85">
        <f>J14</f>
        <v>4487.866666666665</v>
      </c>
      <c r="G3" s="85">
        <f>C14</f>
        <v>8840.9333333333325</v>
      </c>
      <c r="H3" s="85">
        <v>8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8" t="s">
        <v>209</v>
      </c>
      <c r="F4" s="93">
        <f>(G3/F3)^(1/H3)-1</f>
        <v>8.8446961313860539E-2</v>
      </c>
      <c r="J4" s="87"/>
    </row>
    <row r="5" spans="1:14" ht="15.75" customHeight="1" x14ac:dyDescent="0.15">
      <c r="A5" s="16"/>
      <c r="B5" s="115" t="s">
        <v>137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6">
        <f>IF(Inputs!C19=""," ",Inputs!C19)</f>
        <v>108713</v>
      </c>
      <c r="D6" s="206">
        <f>IF(Inputs!D19="","",Inputs!D19)</f>
        <v>94684.4</v>
      </c>
      <c r="E6" s="206">
        <f>IF(Inputs!E19="","",Inputs!E19)</f>
        <v>98937.7</v>
      </c>
      <c r="F6" s="206">
        <f>IF(Inputs!F19="","",Inputs!F19)</f>
        <v>70163.8</v>
      </c>
      <c r="G6" s="206">
        <f>IF(Inputs!G19="","",Inputs!G19)</f>
        <v>56750.8</v>
      </c>
      <c r="H6" s="206">
        <f>IF(Inputs!H19="","",Inputs!H19)</f>
        <v>66660.899999999994</v>
      </c>
      <c r="I6" s="206">
        <f>IF(Inputs!I19="","",Inputs!I19)</f>
        <v>59156.4</v>
      </c>
      <c r="J6" s="206">
        <f>IF(Inputs!J19="","",Inputs!J19)</f>
        <v>51245.5</v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86428</v>
      </c>
      <c r="D8" s="205">
        <f>IF(Inputs!D20="","",Inputs!D20)</f>
        <v>73512.899999999994</v>
      </c>
      <c r="E8" s="205">
        <f>IF(Inputs!E20="","",Inputs!E20)</f>
        <v>76598</v>
      </c>
      <c r="F8" s="205">
        <f>IF(Inputs!F20="","",Inputs!F20)</f>
        <v>50089.1</v>
      </c>
      <c r="G8" s="205">
        <f>IF(Inputs!G20="","",Inputs!G20)</f>
        <v>40654.6</v>
      </c>
      <c r="H8" s="205">
        <f>IF(Inputs!H20="","",Inputs!H20)</f>
        <v>48059.1</v>
      </c>
      <c r="I8" s="205">
        <f>IF(Inputs!I20="","",Inputs!I20)</f>
        <v>42943</v>
      </c>
      <c r="J8" s="205">
        <f>IF(Inputs!J20="","",Inputs!J20)</f>
        <v>36282.800000000003</v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22285</v>
      </c>
      <c r="D9" s="153">
        <f t="shared" si="2"/>
        <v>21171.5</v>
      </c>
      <c r="E9" s="153">
        <f t="shared" si="2"/>
        <v>22339.699999999997</v>
      </c>
      <c r="F9" s="153">
        <f t="shared" si="2"/>
        <v>20074.700000000004</v>
      </c>
      <c r="G9" s="153">
        <f t="shared" si="2"/>
        <v>16096.200000000004</v>
      </c>
      <c r="H9" s="153">
        <f t="shared" si="2"/>
        <v>18601.799999999996</v>
      </c>
      <c r="I9" s="153">
        <f t="shared" si="2"/>
        <v>16213.400000000001</v>
      </c>
      <c r="J9" s="153">
        <f t="shared" si="2"/>
        <v>14962.699999999997</v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13300.2</v>
      </c>
      <c r="D10" s="205">
        <f>IF(Inputs!D21="","",Inputs!D21)</f>
        <v>13695.699999999999</v>
      </c>
      <c r="E10" s="205">
        <f>IF(Inputs!E21="","",Inputs!E21)</f>
        <v>14003.8</v>
      </c>
      <c r="F10" s="205">
        <f>IF(Inputs!F21="","",Inputs!F21)</f>
        <v>11888.399999999998</v>
      </c>
      <c r="G10" s="205">
        <f>IF(Inputs!G21="","",Inputs!G21)</f>
        <v>11596.6</v>
      </c>
      <c r="H10" s="205">
        <f>IF(Inputs!H21="","",Inputs!H21)</f>
        <v>12064.3</v>
      </c>
      <c r="I10" s="205">
        <f>IF(Inputs!I21="","",Inputs!I21)</f>
        <v>10960.1</v>
      </c>
      <c r="J10" s="205">
        <f>IF(Inputs!J21="","",Inputs!J21)</f>
        <v>10347.099999999999</v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>
        <f>IF(Inputs!C24="","",MAX(Inputs!C24,0)/(1-Fin_Analysis!$I$84))</f>
        <v>143.86666666666667</v>
      </c>
      <c r="D12" s="205">
        <f>IF(Inputs!D24="","",MAX(Inputs!D24,0)/(1-Fin_Analysis!$I$84))</f>
        <v>140.13333333333333</v>
      </c>
      <c r="E12" s="205">
        <f>IF(Inputs!E24="","",MAX(Inputs!E24,0)/(1-Fin_Analysis!$I$84))</f>
        <v>223.46666666666667</v>
      </c>
      <c r="F12" s="205">
        <f>IF(Inputs!F24="","",MAX(Inputs!F24,0)/(1-Fin_Analysis!$I$84))</f>
        <v>199.6</v>
      </c>
      <c r="G12" s="205">
        <f>IF(Inputs!G24="","",MAX(Inputs!G24,0)/(1-Fin_Analysis!$I$84))</f>
        <v>109.46666666666665</v>
      </c>
      <c r="H12" s="205">
        <f>IF(Inputs!H24="","",MAX(Inputs!H24,0)/(1-Fin_Analysis!$I$84))</f>
        <v>142.93333333333334</v>
      </c>
      <c r="I12" s="205">
        <f>IF(Inputs!I24="","",MAX(Inputs!I24,0)/(1-Fin_Analysis!$I$84))</f>
        <v>144.53333333333333</v>
      </c>
      <c r="J12" s="205">
        <f>IF(Inputs!J24="","",MAX(Inputs!J24,0)/(1-Fin_Analysis!$I$84))</f>
        <v>127.73333333333333</v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>
        <f t="shared" ref="C13:M13" si="3">IF(C14="","",C14/C6)</f>
        <v>8.1323607418922597E-2</v>
      </c>
      <c r="D13" s="242">
        <f t="shared" si="3"/>
        <v>7.7474923711473784E-2</v>
      </c>
      <c r="E13" s="242">
        <f t="shared" si="3"/>
        <v>8.1995370150441463E-2</v>
      </c>
      <c r="F13" s="242">
        <f t="shared" si="3"/>
        <v>0.11382935359829437</v>
      </c>
      <c r="G13" s="242">
        <f t="shared" si="3"/>
        <v>7.7358087169402678E-2</v>
      </c>
      <c r="H13" s="242">
        <f t="shared" si="3"/>
        <v>9.5926797667998234E-2</v>
      </c>
      <c r="I13" s="242">
        <f t="shared" si="3"/>
        <v>8.6360337455738803E-2</v>
      </c>
      <c r="J13" s="242">
        <f t="shared" si="3"/>
        <v>8.7575819665466528E-2</v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>
        <f>IF(C6="","",C9-C10-MAX(C11,0)-MAX(C12,0))</f>
        <v>8840.9333333333325</v>
      </c>
      <c r="D14" s="243">
        <f t="shared" ref="D14:M14" si="4">IF(D6="","",D9-D10-MAX(D11,0)-MAX(D12,0))</f>
        <v>7335.6666666666679</v>
      </c>
      <c r="E14" s="243">
        <f t="shared" si="4"/>
        <v>8112.4333333333316</v>
      </c>
      <c r="F14" s="243">
        <f t="shared" si="4"/>
        <v>7986.7000000000062</v>
      </c>
      <c r="G14" s="243">
        <f t="shared" si="4"/>
        <v>4390.1333333333378</v>
      </c>
      <c r="H14" s="243">
        <f t="shared" si="4"/>
        <v>6394.566666666663</v>
      </c>
      <c r="I14" s="243">
        <f t="shared" si="4"/>
        <v>5108.7666666666673</v>
      </c>
      <c r="J14" s="243">
        <f t="shared" si="4"/>
        <v>4487.866666666665</v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>
        <f>IF(D14="","",IF(ABS(C14+D14)=ABS(C14)+ABS(D14),IF(C14&lt;0,-1,1)*(C14-D14)/D14,"Turn"))</f>
        <v>0.20519834598082398</v>
      </c>
      <c r="D15" s="245">
        <f t="shared" ref="D15:M15" si="5">IF(E14="","",IF(ABS(D14+E14)=ABS(D14)+ABS(E14),IF(D14&lt;0,-1,1)*(D14-E14)/E14,"Turn"))</f>
        <v>-9.5750144839402543E-2</v>
      </c>
      <c r="E15" s="245">
        <f t="shared" si="5"/>
        <v>1.5742839136730476E-2</v>
      </c>
      <c r="F15" s="245">
        <f t="shared" si="5"/>
        <v>0.8192385956387046</v>
      </c>
      <c r="G15" s="245">
        <f t="shared" si="5"/>
        <v>-0.31345882181226664</v>
      </c>
      <c r="H15" s="245">
        <f t="shared" si="5"/>
        <v>0.25168501203812965</v>
      </c>
      <c r="I15" s="245">
        <f t="shared" si="5"/>
        <v>0.1383508125612769</v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 t="str">
        <f>IF(Inputs!C25="","",Inputs!C25)</f>
        <v/>
      </c>
      <c r="D16" s="205" t="str">
        <f>IF(Inputs!D25="","",Inputs!D25)</f>
        <v/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704.6</v>
      </c>
      <c r="D17" s="205">
        <f>IF(Inputs!D23="","",Inputs!D23)</f>
        <v>585.4</v>
      </c>
      <c r="E17" s="205">
        <f>IF(Inputs!E23="","",Inputs!E23)</f>
        <v>337.7</v>
      </c>
      <c r="F17" s="205">
        <f>IF(Inputs!F23="","",Inputs!F23)</f>
        <v>376</v>
      </c>
      <c r="G17" s="205">
        <f>IF(Inputs!G23="","",Inputs!G23)</f>
        <v>559.6</v>
      </c>
      <c r="H17" s="205">
        <f>IF(Inputs!H23="","",Inputs!H23)</f>
        <v>370.3</v>
      </c>
      <c r="I17" s="205">
        <f>IF(Inputs!I23="","",Inputs!I23)</f>
        <v>243.7</v>
      </c>
      <c r="J17" s="205">
        <f>IF(Inputs!J23="","",Inputs!J23)</f>
        <v>236.6</v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 t="str">
        <f>IF(Inputs!C26="","",Inputs!C26)</f>
        <v/>
      </c>
      <c r="D19" s="205" t="str">
        <f>IF(Inputs!D26="","",Inputs!D26)</f>
        <v/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>
        <f t="shared" ref="C20:M20" si="7">IF(C6="","",MAX(C21,0)/C6)</f>
        <v>0</v>
      </c>
      <c r="D20" s="154">
        <f t="shared" si="7"/>
        <v>0</v>
      </c>
      <c r="E20" s="154">
        <f t="shared" si="7"/>
        <v>0</v>
      </c>
      <c r="F20" s="154">
        <f t="shared" si="7"/>
        <v>0</v>
      </c>
      <c r="G20" s="154">
        <f t="shared" si="7"/>
        <v>0</v>
      </c>
      <c r="H20" s="154">
        <f t="shared" si="7"/>
        <v>0</v>
      </c>
      <c r="I20" s="154">
        <f t="shared" si="7"/>
        <v>0</v>
      </c>
      <c r="J20" s="154">
        <f t="shared" si="7"/>
        <v>0</v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 t="str">
        <f>IF(Inputs!C27="","",Inputs!C27)</f>
        <v/>
      </c>
      <c r="D21" s="205" t="str">
        <f>IF(Inputs!D27="","",Inputs!D27)</f>
        <v/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8136.3333333333321</v>
      </c>
      <c r="D22" s="163">
        <f t="shared" ref="D22:M22" si="8">IF(D6="","",D14-MAX(D16,0)-MAX(D17,0)-ABS(MAX(D21,0)-MAX(D19,0)))</f>
        <v>6750.2666666666682</v>
      </c>
      <c r="E22" s="163">
        <f t="shared" si="8"/>
        <v>7774.7333333333318</v>
      </c>
      <c r="F22" s="163">
        <f t="shared" si="8"/>
        <v>7610.7000000000062</v>
      </c>
      <c r="G22" s="163">
        <f t="shared" si="8"/>
        <v>3830.5333333333379</v>
      </c>
      <c r="H22" s="163">
        <f t="shared" si="8"/>
        <v>6024.2666666666628</v>
      </c>
      <c r="I22" s="163">
        <f t="shared" si="8"/>
        <v>4865.0666666666675</v>
      </c>
      <c r="J22" s="163">
        <f t="shared" si="8"/>
        <v>4251.2666666666646</v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5.6131741374076692E-2</v>
      </c>
      <c r="D23" s="155">
        <f t="shared" si="9"/>
        <v>5.346920928896419E-2</v>
      </c>
      <c r="E23" s="155">
        <f t="shared" si="9"/>
        <v>5.8936583324657836E-2</v>
      </c>
      <c r="F23" s="155">
        <f t="shared" si="9"/>
        <v>8.1352848619943685E-2</v>
      </c>
      <c r="G23" s="155">
        <f t="shared" si="9"/>
        <v>5.0623074917005628E-2</v>
      </c>
      <c r="H23" s="155">
        <f t="shared" si="9"/>
        <v>6.7778862871638354E-2</v>
      </c>
      <c r="I23" s="155">
        <f t="shared" si="9"/>
        <v>6.1680562035553221E-2</v>
      </c>
      <c r="J23" s="155">
        <f t="shared" si="9"/>
        <v>6.2219121678976662E-2</v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0.20533509787267629</v>
      </c>
      <c r="D25" s="246">
        <f t="shared" ref="D25:M25" si="10">IF(E24="","",IF(ABS(D24+E24)=ABS(D24)+ABS(E24),IF(D24&lt;0,-1,1)*(D24-E24)/E24,"Turn"))</f>
        <v>-0.13176872089932321</v>
      </c>
      <c r="E25" s="246">
        <f t="shared" si="10"/>
        <v>2.1552988993565038E-2</v>
      </c>
      <c r="F25" s="246">
        <f t="shared" si="10"/>
        <v>0.98685126527202427</v>
      </c>
      <c r="G25" s="246">
        <f t="shared" si="10"/>
        <v>-0.36414944004249367</v>
      </c>
      <c r="H25" s="246">
        <f t="shared" si="10"/>
        <v>0.23827011620258615</v>
      </c>
      <c r="I25" s="246">
        <f t="shared" si="10"/>
        <v>0.14438049836127348</v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5" t="str">
        <f>IF(Inputs!D31="","",Inputs!D31)</f>
        <v/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5" t="str">
        <f>IF(Inputs!D32="","",Inputs!D32)</f>
        <v/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5" t="str">
        <f>IF(Inputs!D35="","",Inputs!D35)</f>
        <v/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5" t="str">
        <f>IF(Inputs!D36="","",Inputs!D36)</f>
        <v/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 t="e">
        <f>IF(C6="","",C14/MAX(C39,0))</f>
        <v>#DIV/0!</v>
      </c>
      <c r="D40" s="157" t="e">
        <f>IF(D6="","",D14/MAX(D39,0))</f>
        <v>#DIV/0!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0.79501071628968012</v>
      </c>
      <c r="D42" s="158">
        <f t="shared" si="34"/>
        <v>0.77639928013484794</v>
      </c>
      <c r="E42" s="158">
        <f t="shared" si="34"/>
        <v>0.77420437305496292</v>
      </c>
      <c r="F42" s="158">
        <f t="shared" si="34"/>
        <v>0.71388807333696291</v>
      </c>
      <c r="G42" s="158">
        <f t="shared" si="34"/>
        <v>0.71637051812485453</v>
      </c>
      <c r="H42" s="158">
        <f t="shared" si="34"/>
        <v>0.72094886207656972</v>
      </c>
      <c r="I42" s="158">
        <f t="shared" si="34"/>
        <v>0.72592314610084452</v>
      </c>
      <c r="J42" s="158">
        <f t="shared" si="34"/>
        <v>0.70801924071381883</v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>
        <f t="shared" ref="C43:M43" si="35">IF(C6="","",(C10+MAX(C11,0))/C6)</f>
        <v>0.12234231416665901</v>
      </c>
      <c r="D43" s="155">
        <f t="shared" si="35"/>
        <v>0.14464579170380759</v>
      </c>
      <c r="E43" s="155">
        <f t="shared" si="35"/>
        <v>0.14154159637832697</v>
      </c>
      <c r="F43" s="155">
        <f t="shared" si="35"/>
        <v>0.16943780125933883</v>
      </c>
      <c r="G43" s="155">
        <f t="shared" si="35"/>
        <v>0.20434249385030695</v>
      </c>
      <c r="H43" s="155">
        <f t="shared" si="35"/>
        <v>0.18098015478338877</v>
      </c>
      <c r="I43" s="155">
        <f t="shared" si="35"/>
        <v>0.18527327558810205</v>
      </c>
      <c r="J43" s="155">
        <f t="shared" si="35"/>
        <v>0.20191236303675442</v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>
        <f t="shared" si="36"/>
        <v>0</v>
      </c>
      <c r="J44" s="155">
        <f t="shared" si="36"/>
        <v>0</v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6.4812855868203439E-3</v>
      </c>
      <c r="D45" s="155">
        <f t="shared" si="37"/>
        <v>6.1826446595215261E-3</v>
      </c>
      <c r="E45" s="155">
        <f t="shared" si="37"/>
        <v>3.4132590508976859E-3</v>
      </c>
      <c r="F45" s="155">
        <f t="shared" si="37"/>
        <v>5.3588887717027868E-3</v>
      </c>
      <c r="G45" s="155">
        <f t="shared" si="37"/>
        <v>9.8606539467285034E-3</v>
      </c>
      <c r="H45" s="155">
        <f t="shared" si="37"/>
        <v>5.5549805058137539E-3</v>
      </c>
      <c r="I45" s="155">
        <f t="shared" si="37"/>
        <v>4.1195880750011828E-3</v>
      </c>
      <c r="J45" s="155">
        <f t="shared" si="37"/>
        <v>4.616990760164307E-3</v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1.3233621247382252E-3</v>
      </c>
      <c r="D46" s="155">
        <f t="shared" ref="D46:M46" si="38">IF(D6="","",MAX(D12,0)/D6)</f>
        <v>1.4800044498706581E-3</v>
      </c>
      <c r="E46" s="155">
        <f t="shared" si="38"/>
        <v>2.2586604162686892E-3</v>
      </c>
      <c r="F46" s="155">
        <f t="shared" si="38"/>
        <v>2.8447718054039261E-3</v>
      </c>
      <c r="G46" s="155">
        <f t="shared" si="38"/>
        <v>1.9289008554358115E-3</v>
      </c>
      <c r="H46" s="155">
        <f t="shared" si="38"/>
        <v>2.1441854720433318E-3</v>
      </c>
      <c r="I46" s="155">
        <f t="shared" si="38"/>
        <v>2.4432408553146123E-3</v>
      </c>
      <c r="J46" s="155">
        <f t="shared" si="38"/>
        <v>2.4925765839602177E-3</v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>
        <f>IF(C6="","",ABS(MAX(C21,0)-MAX(C19,0))/C6)</f>
        <v>0</v>
      </c>
      <c r="D47" s="155">
        <f t="shared" ref="D47:M47" si="39">IF(D6="","",ABS(MAX(D21,0)-MAX(D19,0))/D6)</f>
        <v>0</v>
      </c>
      <c r="E47" s="155">
        <f t="shared" si="39"/>
        <v>0</v>
      </c>
      <c r="F47" s="155">
        <f t="shared" si="39"/>
        <v>0</v>
      </c>
      <c r="G47" s="155">
        <f t="shared" si="39"/>
        <v>0</v>
      </c>
      <c r="H47" s="155">
        <f t="shared" si="39"/>
        <v>0</v>
      </c>
      <c r="I47" s="155">
        <f t="shared" si="39"/>
        <v>0</v>
      </c>
      <c r="J47" s="155">
        <f t="shared" si="39"/>
        <v>0</v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7.4842321832102252E-2</v>
      </c>
      <c r="D48" s="155">
        <f t="shared" si="40"/>
        <v>7.1292279051952262E-2</v>
      </c>
      <c r="E48" s="155">
        <f t="shared" si="40"/>
        <v>7.8582111099543772E-2</v>
      </c>
      <c r="F48" s="155">
        <f t="shared" si="40"/>
        <v>0.10847046482659158</v>
      </c>
      <c r="G48" s="155">
        <f t="shared" si="40"/>
        <v>6.749743322267418E-2</v>
      </c>
      <c r="H48" s="155">
        <f t="shared" si="40"/>
        <v>9.0371817162184481E-2</v>
      </c>
      <c r="I48" s="155">
        <f t="shared" si="40"/>
        <v>8.2240749380737624E-2</v>
      </c>
      <c r="J48" s="155">
        <f t="shared" si="40"/>
        <v>8.295882890530222E-2</v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 t="str">
        <f t="shared" ref="C54:M54" si="44">IF(OR(C22="",C35=""),"",IF(C35&lt;=0,"-",C22/C35))</f>
        <v>-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8.6599205211192604E-2</v>
      </c>
      <c r="D55" s="155">
        <f t="shared" si="45"/>
        <v>8.6722499851857676E-2</v>
      </c>
      <c r="E55" s="155">
        <f t="shared" si="45"/>
        <v>4.3435573352998177E-2</v>
      </c>
      <c r="F55" s="155">
        <f t="shared" si="45"/>
        <v>4.9404128398176213E-2</v>
      </c>
      <c r="G55" s="155">
        <f t="shared" si="45"/>
        <v>0.1460893174144591</v>
      </c>
      <c r="H55" s="155">
        <f t="shared" si="45"/>
        <v>6.1468062502766631E-2</v>
      </c>
      <c r="I55" s="155">
        <f t="shared" si="45"/>
        <v>5.009181100635824E-2</v>
      </c>
      <c r="J55" s="155">
        <f t="shared" si="45"/>
        <v>5.5654001160438483E-2</v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6" zoomScaleNormal="100" workbookViewId="0">
      <selection activeCell="D102" sqref="D10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4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204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4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4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2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204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4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3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45381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108713</v>
      </c>
      <c r="D74" s="215"/>
      <c r="E74" s="202">
        <f>H74</f>
        <v>108713</v>
      </c>
      <c r="F74" s="215"/>
      <c r="H74" s="202">
        <f>C74</f>
        <v>108713</v>
      </c>
      <c r="I74" s="215"/>
      <c r="K74" s="24"/>
    </row>
    <row r="75" spans="1:11" ht="15" customHeight="1" x14ac:dyDescent="0.15">
      <c r="B75" s="104" t="s">
        <v>106</v>
      </c>
      <c r="C75" s="77">
        <f>Data!C8</f>
        <v>86428</v>
      </c>
      <c r="D75" s="161">
        <f>C75/$C$74</f>
        <v>0.79501071628968012</v>
      </c>
      <c r="E75" s="202">
        <f>E74*D75</f>
        <v>86428</v>
      </c>
      <c r="F75" s="162">
        <f>E75/E74</f>
        <v>0.79501071628968012</v>
      </c>
      <c r="H75" s="202">
        <f>H74*D75</f>
        <v>86428</v>
      </c>
      <c r="I75" s="162">
        <f>H75/$H$74</f>
        <v>0.79501071628968012</v>
      </c>
      <c r="K75" s="24"/>
    </row>
    <row r="76" spans="1:11" ht="15" customHeight="1" x14ac:dyDescent="0.15">
      <c r="B76" s="35" t="s">
        <v>96</v>
      </c>
      <c r="C76" s="163">
        <f>C74-C75</f>
        <v>22285</v>
      </c>
      <c r="D76" s="216"/>
      <c r="E76" s="164">
        <f>E74-E75</f>
        <v>22285</v>
      </c>
      <c r="F76" s="216"/>
      <c r="H76" s="164">
        <f>H74-H75</f>
        <v>22285</v>
      </c>
      <c r="I76" s="216"/>
      <c r="K76" s="24"/>
    </row>
    <row r="77" spans="1:11" ht="15" customHeight="1" x14ac:dyDescent="0.15">
      <c r="B77" s="104" t="s">
        <v>262</v>
      </c>
      <c r="C77" s="77">
        <f>Data!C10+MAX(Data!C11,0)</f>
        <v>13300.2</v>
      </c>
      <c r="D77" s="161">
        <f>C77/$C$74</f>
        <v>0.12234231416665901</v>
      </c>
      <c r="E77" s="202">
        <f>E74*I77</f>
        <v>13300.2</v>
      </c>
      <c r="F77" s="162">
        <f>E77/E74</f>
        <v>0.12234231416665901</v>
      </c>
      <c r="H77" s="202">
        <f>H74*D77</f>
        <v>13300.2</v>
      </c>
      <c r="I77" s="162">
        <f>H77/$H$74</f>
        <v>0.12234231416665901</v>
      </c>
      <c r="K77" s="24"/>
    </row>
    <row r="78" spans="1:11" ht="15" customHeight="1" x14ac:dyDescent="0.15">
      <c r="B78" s="35" t="s">
        <v>245</v>
      </c>
      <c r="C78" s="163">
        <f>C76-C77</f>
        <v>8984.7999999999993</v>
      </c>
      <c r="D78" s="216"/>
      <c r="E78" s="164">
        <f>E76-E77</f>
        <v>8984.7999999999993</v>
      </c>
      <c r="F78" s="216"/>
      <c r="H78" s="164">
        <f>H76-H77</f>
        <v>8984.7999999999993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704.6</v>
      </c>
      <c r="D79" s="161">
        <f>C79/$C$74</f>
        <v>6.4812855868203439E-3</v>
      </c>
      <c r="E79" s="183">
        <f>E74*F79</f>
        <v>704.6</v>
      </c>
      <c r="F79" s="162">
        <f t="shared" ref="F79:F84" si="3">I79</f>
        <v>6.4812855868203439E-3</v>
      </c>
      <c r="H79" s="202">
        <f>H74*D79</f>
        <v>704.6</v>
      </c>
      <c r="I79" s="162">
        <f>H79/$H$74</f>
        <v>6.4812855868203439E-3</v>
      </c>
      <c r="K79" s="24"/>
    </row>
    <row r="80" spans="1:11" ht="15" customHeight="1" x14ac:dyDescent="0.15">
      <c r="B80" s="28" t="s">
        <v>261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143.86666666666667</v>
      </c>
      <c r="D82" s="161">
        <f>C82/$C$74</f>
        <v>1.3233621247382252E-3</v>
      </c>
      <c r="E82" s="183">
        <f>E74*F82</f>
        <v>143.86666666666667</v>
      </c>
      <c r="F82" s="162">
        <f t="shared" si="3"/>
        <v>1.3233621247382252E-3</v>
      </c>
      <c r="H82" s="202">
        <f>H74*D82</f>
        <v>143.86666666666667</v>
      </c>
      <c r="I82" s="162">
        <f>H82/$H$74</f>
        <v>1.3233621247382252E-3</v>
      </c>
      <c r="K82" s="24"/>
    </row>
    <row r="83" spans="1:11" ht="15" customHeight="1" thickBot="1" x14ac:dyDescent="0.2">
      <c r="B83" s="105" t="s">
        <v>128</v>
      </c>
      <c r="C83" s="165">
        <f>C78-C79-C80-C81-C82</f>
        <v>8136.3333333333321</v>
      </c>
      <c r="D83" s="166">
        <f>C83/$C$74</f>
        <v>7.4842321832102252E-2</v>
      </c>
      <c r="E83" s="167">
        <f>E78-E79-E80-E81-E82</f>
        <v>8136.3333333333321</v>
      </c>
      <c r="F83" s="166">
        <f>E83/E74</f>
        <v>7.4842321832102252E-2</v>
      </c>
      <c r="H83" s="167">
        <f>H78-H79-H80-H81-H82</f>
        <v>8136.3333333333321</v>
      </c>
      <c r="I83" s="166">
        <f>H83/$H$74</f>
        <v>7.4842321832102252E-2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6102.2499999999991</v>
      </c>
      <c r="D85" s="168">
        <f>C85/$C$74</f>
        <v>5.6131741374076692E-2</v>
      </c>
      <c r="E85" s="169">
        <f>E83*(1-F84)</f>
        <v>6102.2499999999991</v>
      </c>
      <c r="F85" s="168">
        <f>E85/E74</f>
        <v>5.6131741374076692E-2</v>
      </c>
      <c r="H85" s="169">
        <f>H83*(1-I84)</f>
        <v>6102.2499999999991</v>
      </c>
      <c r="I85" s="168">
        <f>H85/$H$74</f>
        <v>5.6131741374076692E-2</v>
      </c>
      <c r="K85" s="24"/>
    </row>
    <row r="86" spans="1:11" ht="15" customHeight="1" x14ac:dyDescent="0.15">
      <c r="B86" s="87" t="s">
        <v>165</v>
      </c>
      <c r="C86" s="170">
        <f>C85*Data!C4/Common_Shares</f>
        <v>0.61097424994218896</v>
      </c>
      <c r="D86" s="215"/>
      <c r="E86" s="171">
        <f>E85*Data!C4/Common_Shares</f>
        <v>0.61097424994218896</v>
      </c>
      <c r="F86" s="215"/>
      <c r="H86" s="171">
        <f>H85*Data!C4/Common_Shares</f>
        <v>0.61097424994218896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8.6295798014433475E-2</v>
      </c>
      <c r="D87" s="215"/>
      <c r="E87" s="233">
        <f>E86*Exchange_Rate/Dashboard!G3</f>
        <v>8.6295798014433475E-2</v>
      </c>
      <c r="F87" s="215"/>
      <c r="H87" s="233">
        <f>H86*Exchange_Rate/Dashboard!G3</f>
        <v>8.6295798014433475E-2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0.55000000000000004</v>
      </c>
      <c r="D88" s="168">
        <f>C88/C86</f>
        <v>0.90020160432627339</v>
      </c>
      <c r="E88" s="201">
        <f>H88*0.8</f>
        <v>0.44000000000000006</v>
      </c>
      <c r="F88" s="168">
        <f>E88/E86</f>
        <v>0.72016128346101871</v>
      </c>
      <c r="H88" s="173">
        <f>Inputs!F6</f>
        <v>0.55000000000000004</v>
      </c>
      <c r="I88" s="168">
        <f>H88/H86</f>
        <v>0.90020160432627339</v>
      </c>
      <c r="K88" s="24"/>
    </row>
    <row r="89" spans="1:11" ht="15" customHeight="1" x14ac:dyDescent="0.15">
      <c r="B89" s="87" t="s">
        <v>231</v>
      </c>
      <c r="C89" s="162">
        <f>C88*Exchange_Rate/Dashboard!G3</f>
        <v>7.7683615819209045E-2</v>
      </c>
      <c r="D89" s="215"/>
      <c r="E89" s="162">
        <f>E88*Exchange_Rate/Dashboard!G3</f>
        <v>6.2146892655367242E-2</v>
      </c>
      <c r="F89" s="215"/>
      <c r="H89" s="162">
        <f>H88*Exchange_Rate/Dashboard!G3</f>
        <v>7.7683615819209045E-2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14.002947785677524</v>
      </c>
      <c r="H93" s="87" t="s">
        <v>217</v>
      </c>
      <c r="I93" s="145">
        <f>FV(H87,D93,0,-(H86/C93))</f>
        <v>14.002947785677524</v>
      </c>
      <c r="K93" s="24"/>
    </row>
    <row r="94" spans="1:11" ht="15" customHeight="1" x14ac:dyDescent="0.15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9.0122173143516164</v>
      </c>
      <c r="H94" s="87" t="s">
        <v>218</v>
      </c>
      <c r="I94" s="145">
        <f>FV(H89,D93,0,-(H88/C93))</f>
        <v>12.113653733467036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101601.59718050285</v>
      </c>
      <c r="D97" s="219"/>
      <c r="E97" s="123">
        <f>PV(C93,D93,0,-F93)*Exchange_Rate</f>
        <v>10.172634623341581</v>
      </c>
      <c r="F97" s="219"/>
      <c r="H97" s="123">
        <f>PV(C93,D93,0,-I93)*Exchange_Rate</f>
        <v>10.172634623341581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20"/>
      <c r="E99" s="147">
        <f>IF(H99&gt;0,H99*0.85,H99*1.15)</f>
        <v>0</v>
      </c>
      <c r="F99" s="220"/>
      <c r="H99" s="147">
        <f>C99*Data!$C$4/Common_Shares</f>
        <v>0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101601.59718050285</v>
      </c>
      <c r="D100" s="109">
        <f>F100*(1-C94)</f>
        <v>8.6467394298403448</v>
      </c>
      <c r="E100" s="109">
        <f>MAX(E97-H98+E99,0)</f>
        <v>10.172634623341581</v>
      </c>
      <c r="F100" s="109">
        <f>(E100+H100)/2</f>
        <v>10.172634623341581</v>
      </c>
      <c r="H100" s="109">
        <f>MAX(C100*Data!$C$4/Common_Shares,0)</f>
        <v>10.172634623341581</v>
      </c>
      <c r="I100" s="109">
        <f>F100*1.25</f>
        <v>12.715793279176976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87893.391152301745</v>
      </c>
      <c r="D103" s="109">
        <f>F103*(1-C94)</f>
        <v>6.5225517146373377</v>
      </c>
      <c r="E103" s="123">
        <f>PV(C93,D93,0,-F94)*Exchange_Rate</f>
        <v>6.5470496132836891</v>
      </c>
      <c r="F103" s="109">
        <f>(E103+H103)/2</f>
        <v>7.673590252514515</v>
      </c>
      <c r="H103" s="123">
        <f>PV(C93,D93,0,-I94)*Exchange_Rate</f>
        <v>8.80013089174534</v>
      </c>
      <c r="I103" s="109">
        <f>F103*1.25</f>
        <v>9.5919878156431437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83495.902767261068</v>
      </c>
      <c r="D106" s="109">
        <f>(D100+D103)/2</f>
        <v>7.5846455722388413</v>
      </c>
      <c r="E106" s="123">
        <f>(E100+E103)/2</f>
        <v>8.3598421183126348</v>
      </c>
      <c r="F106" s="109">
        <f>(F100+F103)/2</f>
        <v>8.9231124379280473</v>
      </c>
      <c r="H106" s="123">
        <f>(H100+H103)/2</f>
        <v>9.4863827575434598</v>
      </c>
      <c r="I106" s="123">
        <f>(I100+I103)/2</f>
        <v>11.153890547410061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2024-11-23T15:13:28Z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