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619393C-6826-47DB-8CD6-7C0C3D00CE0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B7" i="3"/>
  <c r="M53" i="2"/>
  <c r="F95" i="4" l="1"/>
  <c r="F9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K27" i="2"/>
  <c r="K55" i="2"/>
  <c r="J27" i="2"/>
  <c r="J55" i="2"/>
  <c r="I27" i="2"/>
  <c r="I55" i="2"/>
  <c r="G53" i="2"/>
  <c r="H50" i="2"/>
  <c r="E53" i="2"/>
  <c r="F50" i="2"/>
  <c r="F53" i="2"/>
  <c r="G50" i="2"/>
  <c r="K53" i="2"/>
  <c r="L50" i="2"/>
  <c r="J53" i="2"/>
  <c r="K50" i="2"/>
  <c r="H53" i="2"/>
  <c r="I50" i="2"/>
  <c r="I53" i="2"/>
  <c r="J50" i="2"/>
  <c r="D53" i="2"/>
  <c r="E50" i="2"/>
  <c r="C53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D50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E40" i="2"/>
  <c r="G13" i="2"/>
  <c r="D40" i="2"/>
  <c r="D13" i="2"/>
  <c r="G40" i="2"/>
  <c r="K56" i="2"/>
  <c r="L24" i="2"/>
  <c r="L23" i="2" s="1"/>
  <c r="M57" i="2"/>
  <c r="M56" i="2"/>
  <c r="G59" i="2" l="1"/>
  <c r="D59" i="2"/>
  <c r="K59" i="2"/>
  <c r="E57" i="2"/>
  <c r="L59" i="2"/>
  <c r="D56" i="2"/>
  <c r="E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60" i="2"/>
  <c r="C61" i="2"/>
  <c r="E99" i="3"/>
  <c r="G23" i="1"/>
  <c r="E53" i="3" s="1"/>
  <c r="C27" i="2"/>
  <c r="C55" i="2" s="1"/>
  <c r="C37" i="2"/>
  <c r="C59" i="2" l="1"/>
  <c r="C98" i="3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<sst xmlns="http://schemas.openxmlformats.org/spreadsheetml/2006/main" count="394" uniqueCount="274">
  <si>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</si>
  <si>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</si>
  <si>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</si>
  <si>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</si>
  <si>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</si>
  <si>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</si>
  <si>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</si>
  <si>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</si>
  <si>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</si>
  <si>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</si>
  <si>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</si>
  <si>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</si>
  <si>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</si>
  <si>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</si>
  <si>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</si>
  <si>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</si>
  <si>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</si>
  <si>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</si>
  <si>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</si>
  <si>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</si>
  <si>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</si>
  <si>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</si>
  <si>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</si>
  <si>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</si>
  <si>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</si>
  <si>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</si>
  <si>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</si>
  <si>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</si>
  <si>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</si>
  <si>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</si>
  <si>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</si>
  <si>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</si>
  <si>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</si>
  <si>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</si>
  <si>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</si>
  <si>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</si>
  <si>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</si>
  <si>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</si>
  <si>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</si>
  <si>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</si>
  <si>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</si>
  <si>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</si>
  <si>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</si>
  <si>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</si>
  <si>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</si>
  <si>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</si>
  <si>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</si>
  <si>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</si>
  <si>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</si>
  <si>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</si>
  <si>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</si>
  <si>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</si>
  <si>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</si>
  <si>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</si>
  <si>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</si>
  <si>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</si>
  <si>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</si>
  <si>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</si>
  <si>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</si>
  <si>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</si>
  <si>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</si>
  <si>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</si>
  <si>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</si>
  <si>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</si>
  <si>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</si>
  <si>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</si>
  <si>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</si>
  <si>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</si>
  <si>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</si>
  <si>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</si>
  <si>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</si>
  <si>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</si>
  <si>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</si>
  <si>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</si>
  <si>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</si>
  <si>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</si>
  <si>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</si>
  <si>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</si>
  <si>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</si>
  <si>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</si>
  <si>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</si>
  <si>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</si>
  <si>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</si>
  <si>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</si>
  <si>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</si>
  <si>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</si>
  <si>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</si>
  <si>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</si>
  <si>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</si>
  <si>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</si>
  <si>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</si>
  <si>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</si>
  <si>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</si>
  <si>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</si>
  <si>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</si>
  <si>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</si>
  <si>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</si>
  <si>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</si>
  <si>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</si>
  <si>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</si>
  <si>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</si>
  <si>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</si>
  <si>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</si>
  <si>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</si>
  <si>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</si>
  <si>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</si>
  <si>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</si>
  <si>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</si>
  <si>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</si>
  <si>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</si>
  <si>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</si>
  <si>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</si>
  <si>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</si>
  <si>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</si>
  <si>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</si>
  <si>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</si>
  <si>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</si>
  <si>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</si>
  <si>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</si>
  <si>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</si>
  <si>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</si>
  <si>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</si>
  <si>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</si>
  <si>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</si>
  <si>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</si>
  <si>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</si>
  <si>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</si>
  <si>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</si>
  <si>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</si>
  <si>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</si>
  <si>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</si>
  <si>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</si>
  <si>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</si>
  <si>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</si>
  <si>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</si>
  <si>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</si>
  <si>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</si>
  <si>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</si>
  <si>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</si>
  <si>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</si>
  <si>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</si>
  <si>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</si>
  <si>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</si>
  <si>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</si>
  <si>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</si>
  <si>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</si>
  <si>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</si>
  <si>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</si>
  <si>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</si>
  <si>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</si>
  <si>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</si>
  <si>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</si>
  <si>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</si>
  <si>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</si>
  <si>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</si>
  <si>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</si>
  <si>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</si>
  <si>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</si>
  <si>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</si>
  <si>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</si>
  <si>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</si>
  <si>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</si>
  <si>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</si>
  <si>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</si>
  <si>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</si>
  <si>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</si>
  <si>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</si>
  <si>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</si>
  <si>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</si>
  <si>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</si>
  <si>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</si>
  <si>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</si>
  <si>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</si>
  <si>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</si>
  <si>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</si>
  <si>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</si>
  <si>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</si>
  <si>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</si>
  <si>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</si>
  <si>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</si>
  <si>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</si>
  <si>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</si>
  <si>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</si>
  <si>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</si>
  <si>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</si>
  <si>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</si>
  <si>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</si>
  <si>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</si>
  <si>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</si>
  <si>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</si>
  <si>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</si>
  <si>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</si>
  <si>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</si>
  <si>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</si>
  <si>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</si>
  <si>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</si>
  <si>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</si>
  <si>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</si>
  <si>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</si>
  <si>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</si>
  <si>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</si>
  <si>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</si>
  <si>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</si>
  <si>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</si>
  <si>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</si>
  <si>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</si>
  <si>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</si>
  <si>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</si>
  <si>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</si>
  <si>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</si>
  <si>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</si>
  <si>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</si>
  <si>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</si>
  <si>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</si>
  <si>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</si>
  <si>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</si>
  <si>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</si>
  <si>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</si>
  <si>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</si>
  <si>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</si>
  <si>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</si>
  <si>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</si>
  <si>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</si>
  <si>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</si>
  <si>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</si>
  <si>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</si>
  <si>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</si>
  <si>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</si>
  <si>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</si>
  <si>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</si>
  <si>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</si>
  <si>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</si>
  <si>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</si>
  <si>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</si>
  <si>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</si>
  <si>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</si>
  <si>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</si>
  <si>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</si>
  <si>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</si>
  <si>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</si>
  <si>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</si>
  <si>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</si>
  <si>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</si>
  <si>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</si>
  <si>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</si>
  <si>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</si>
  <si>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</si>
  <si>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</si>
  <si>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</si>
  <si>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</si>
  <si>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</si>
  <si>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</si>
  <si>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</si>
  <si>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</si>
  <si>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</si>
  <si>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</si>
  <si>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</si>
  <si>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</si>
  <si>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</si>
  <si>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</si>
  <si>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</si>
  <si>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</si>
  <si>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</si>
  <si>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</si>
  <si>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0005.HK</t>
  </si>
  <si>
    <t>HSBC</t>
  </si>
  <si>
    <t xml:space="preserve">Superior Cycl. </t>
  </si>
  <si>
    <t>C0014</t>
  </si>
  <si>
    <t>USD</t>
  </si>
  <si>
    <t>UK Tax Rate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</si>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</sst>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3.237354486453075E-2</c:v>
                </c:pt>
                <c:pt idx="1">
                  <c:v>0.27531678170392498</c:v>
                </c:pt>
                <c:pt idx="2">
                  <c:v>2.3869305285384647E-2</c:v>
                </c:pt>
                <c:pt idx="3">
                  <c:v>0</c:v>
                </c:pt>
                <c:pt idx="4">
                  <c:v>0.55863466227121317</c:v>
                </c:pt>
                <c:pt idx="5">
                  <c:v>0</c:v>
                </c:pt>
                <c:pt idx="6">
                  <c:v>0.10980570587494648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264</v>
      </c>
    </row>
    <row r="5" spans="1:5" ht="13.9" x14ac:dyDescent="0.4">
      <c r="B5" s="141" t="s">
        <v>190</v>
      </c>
      <c r="C5" s="191" t="s">
        <v>265</v>
      </c>
    </row>
    <row r="6" spans="1:5" ht="13.9" x14ac:dyDescent="0.4">
      <c r="B6" s="141" t="s">
        <v>158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266</v>
      </c>
      <c r="E8" s="267"/>
    </row>
    <row r="9" spans="1:5" ht="13.9" x14ac:dyDescent="0.4">
      <c r="B9" s="140" t="s">
        <v>211</v>
      </c>
      <c r="C9" s="192" t="s">
        <v>267</v>
      </c>
    </row>
    <row r="10" spans="1:5" ht="13.9" x14ac:dyDescent="0.4">
      <c r="B10" s="140" t="s">
        <v>212</v>
      </c>
      <c r="C10" s="193">
        <v>18208334222</v>
      </c>
    </row>
    <row r="11" spans="1:5" ht="13.9" x14ac:dyDescent="0.4">
      <c r="B11" s="140" t="s">
        <v>213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248</v>
      </c>
      <c r="C15" s="176" t="s">
        <v>184</v>
      </c>
    </row>
    <row r="16" spans="1:5" ht="13.9" x14ac:dyDescent="0.4">
      <c r="B16" s="222" t="s">
        <v>93</v>
      </c>
      <c r="C16" s="223">
        <v>0.23499999999999999</v>
      </c>
      <c r="D16" s="24" t="s">
        <v>269</v>
      </c>
    </row>
    <row r="17" spans="2:13" ht="13.9" x14ac:dyDescent="0.4">
      <c r="B17" s="240" t="s">
        <v>219</v>
      </c>
      <c r="C17" s="242" t="s">
        <v>270</v>
      </c>
      <c r="D17" s="24"/>
    </row>
    <row r="18" spans="2:13" ht="13.9" x14ac:dyDescent="0.4">
      <c r="B18" s="240" t="s">
        <v>233</v>
      </c>
      <c r="C18" s="242" t="s">
        <v>270</v>
      </c>
      <c r="D18" s="24"/>
    </row>
    <row r="19" spans="2:13" ht="13.9" x14ac:dyDescent="0.4">
      <c r="B19" s="240" t="s">
        <v>234</v>
      </c>
      <c r="C19" s="242" t="s">
        <v>270</v>
      </c>
      <c r="D19" s="24"/>
    </row>
    <row r="20" spans="2:13" ht="13.9" x14ac:dyDescent="0.4">
      <c r="B20" s="241" t="s">
        <v>223</v>
      </c>
      <c r="C20" s="242" t="s">
        <v>270</v>
      </c>
      <c r="D20" s="24"/>
    </row>
    <row r="21" spans="2:13" ht="13.9" x14ac:dyDescent="0.4">
      <c r="B21" s="224" t="s">
        <v>226</v>
      </c>
      <c r="C21" s="242" t="s">
        <v>270</v>
      </c>
      <c r="D21" s="24"/>
    </row>
    <row r="22" spans="2:13" ht="78.75" x14ac:dyDescent="0.4">
      <c r="B22" s="226" t="s">
        <v>225</v>
      </c>
      <c r="C22" s="243" t="s">
        <v>271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116484</v>
      </c>
      <c r="D25" s="149">
        <v>67950</v>
      </c>
      <c r="E25" s="149">
        <v>52976</v>
      </c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3771</v>
      </c>
      <c r="D26" s="150">
        <v>3354</v>
      </c>
      <c r="E26" s="150">
        <v>3691</v>
      </c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32070</v>
      </c>
      <c r="D27" s="150">
        <v>32701</v>
      </c>
      <c r="E27" s="150">
        <v>34620</v>
      </c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249</v>
      </c>
      <c r="C29" s="150">
        <v>65072</v>
      </c>
      <c r="D29" s="150">
        <v>22449</v>
      </c>
      <c r="E29" s="150">
        <v>9699</v>
      </c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2127</v>
      </c>
      <c r="D30" s="150">
        <v>1822</v>
      </c>
      <c r="E30" s="150">
        <v>2079</v>
      </c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255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>
        <v>0.82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245</v>
      </c>
      <c r="C45" s="152">
        <f>IF(C44="","",C44*Exchange_Rate/Dashboard!$G$3)</f>
        <v>8.5401967477255508E-2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243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253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252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244</v>
      </c>
      <c r="C86" s="197">
        <v>5</v>
      </c>
    </row>
    <row r="87" spans="2:8" ht="13.9" x14ac:dyDescent="0.4">
      <c r="B87" s="10" t="s">
        <v>242</v>
      </c>
      <c r="C87" s="236" t="s">
        <v>272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116484</v>
      </c>
      <c r="D91" s="209"/>
      <c r="E91" s="251">
        <f>C91</f>
        <v>116484</v>
      </c>
      <c r="F91" s="251">
        <f>C91</f>
        <v>116484</v>
      </c>
    </row>
    <row r="92" spans="2:8" ht="13.9" x14ac:dyDescent="0.4">
      <c r="B92" s="104" t="s">
        <v>102</v>
      </c>
      <c r="C92" s="77">
        <f>C26</f>
        <v>3771</v>
      </c>
      <c r="D92" s="159">
        <f>C92/C91</f>
        <v>3.237354486453075E-2</v>
      </c>
      <c r="E92" s="252">
        <f>E91*D92</f>
        <v>3771</v>
      </c>
      <c r="F92" s="252">
        <f>F91*D92</f>
        <v>3771</v>
      </c>
    </row>
    <row r="93" spans="2:8" ht="13.9" x14ac:dyDescent="0.4">
      <c r="B93" s="104" t="s">
        <v>241</v>
      </c>
      <c r="C93" s="77">
        <f>C27+C28</f>
        <v>32070</v>
      </c>
      <c r="D93" s="159">
        <f>C93/C91</f>
        <v>0.27531678170392498</v>
      </c>
      <c r="E93" s="252">
        <f>E91*D93</f>
        <v>32069.999999999996</v>
      </c>
      <c r="F93" s="252">
        <f>F91*D93</f>
        <v>32069.999999999996</v>
      </c>
    </row>
    <row r="94" spans="2:8" ht="13.9" x14ac:dyDescent="0.4">
      <c r="B94" s="104" t="s">
        <v>249</v>
      </c>
      <c r="C94" s="77">
        <f>C29</f>
        <v>65072</v>
      </c>
      <c r="D94" s="159">
        <f>C94/C91</f>
        <v>0.55863466227121317</v>
      </c>
      <c r="E94" s="253"/>
      <c r="F94" s="252">
        <f>F91*D94</f>
        <v>65071.999999999993</v>
      </c>
    </row>
    <row r="95" spans="2:8" ht="13.9" x14ac:dyDescent="0.4">
      <c r="B95" s="28" t="s">
        <v>240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2780.3921568627452</v>
      </c>
      <c r="D97" s="159">
        <f>C97/C91</f>
        <v>2.3869305285384647E-2</v>
      </c>
      <c r="E97" s="253"/>
      <c r="F97" s="252">
        <f>F91*D97</f>
        <v>2780.3921568627452</v>
      </c>
    </row>
    <row r="98" spans="2:7" ht="13.9" x14ac:dyDescent="0.4">
      <c r="B98" s="86" t="s">
        <v>202</v>
      </c>
      <c r="C98" s="237">
        <f>C44</f>
        <v>0.82</v>
      </c>
      <c r="D98" s="266"/>
      <c r="E98" s="254">
        <f>F98</f>
        <v>0.61</v>
      </c>
      <c r="F98" s="254">
        <v>0.61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0005.HK : HSBC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0005.HK</v>
      </c>
      <c r="D3" s="282"/>
      <c r="E3" s="87"/>
      <c r="F3" s="3" t="s">
        <v>1</v>
      </c>
      <c r="G3" s="132">
        <v>74.650000000000006</v>
      </c>
      <c r="H3" s="134" t="s">
        <v>273</v>
      </c>
    </row>
    <row r="4" spans="1:10" ht="15.75" customHeight="1" x14ac:dyDescent="0.4">
      <c r="B4" s="35" t="s">
        <v>190</v>
      </c>
      <c r="C4" s="283" t="str">
        <f>Inputs!C5</f>
        <v>HSBC</v>
      </c>
      <c r="D4" s="284"/>
      <c r="E4" s="87"/>
      <c r="F4" s="3" t="s">
        <v>2</v>
      </c>
      <c r="G4" s="287">
        <f>Inputs!C10</f>
        <v>18208334222</v>
      </c>
      <c r="H4" s="287"/>
      <c r="I4" s="39"/>
    </row>
    <row r="5" spans="1:10" ht="15.75" customHeight="1" x14ac:dyDescent="0.4">
      <c r="B5" s="3" t="s">
        <v>158</v>
      </c>
      <c r="C5" s="285">
        <f>Inputs!C6</f>
        <v>45593</v>
      </c>
      <c r="D5" s="286"/>
      <c r="E5" s="34"/>
      <c r="F5" s="35" t="s">
        <v>96</v>
      </c>
      <c r="G5" s="279">
        <f>G3*G4/1000000</f>
        <v>1359252.1496723001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USD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7.7747035026550293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246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HK</v>
      </c>
      <c r="F16" s="110" t="s">
        <v>173</v>
      </c>
    </row>
    <row r="17" spans="1:8" ht="15.75" customHeight="1" thickTop="1" x14ac:dyDescent="0.4">
      <c r="B17" s="87" t="s">
        <v>247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3.237354486453075E-2</v>
      </c>
      <c r="F20" s="87" t="s">
        <v>206</v>
      </c>
      <c r="G20" s="172">
        <v>0.15</v>
      </c>
    </row>
    <row r="21" spans="1:8" ht="15.75" customHeight="1" x14ac:dyDescent="0.4">
      <c r="B21" s="137" t="s">
        <v>239</v>
      </c>
      <c r="C21" s="171">
        <f>Fin_Analysis!I77</f>
        <v>0.27531678170392498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2.3869305285384647E-2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0.55863466227121317</v>
      </c>
      <c r="F24" s="140" t="s">
        <v>251</v>
      </c>
      <c r="G24" s="268">
        <f>G3/(Fin_Analysis!H86*G7)</f>
        <v>17.867491077243407</v>
      </c>
    </row>
    <row r="25" spans="1:8" ht="15.75" customHeight="1" x14ac:dyDescent="0.4">
      <c r="B25" s="137" t="s">
        <v>238</v>
      </c>
      <c r="C25" s="171">
        <f>Fin_Analysis!I82</f>
        <v>0</v>
      </c>
      <c r="F25" s="140" t="s">
        <v>169</v>
      </c>
      <c r="G25" s="171">
        <f>Fin_Analysis!I88</f>
        <v>1.1351347854221043</v>
      </c>
    </row>
    <row r="26" spans="1:8" ht="15.75" customHeight="1" x14ac:dyDescent="0.4">
      <c r="B26" s="138" t="s">
        <v>168</v>
      </c>
      <c r="C26" s="171">
        <f>Fin_Analysis!I83</f>
        <v>0.10980570587494648</v>
      </c>
      <c r="F26" s="141" t="s">
        <v>188</v>
      </c>
      <c r="G26" s="178">
        <f>Fin_Analysis!H88*Exchange_Rate/G3</f>
        <v>6.3530731903812018E-2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250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44.982321188819334</v>
      </c>
      <c r="D29" s="129">
        <f>G29*(1+G20)</f>
        <v>83.068224042993734</v>
      </c>
      <c r="E29" s="87"/>
      <c r="F29" s="131">
        <f>IF(Fin_Analysis!C108="Profit",Fin_Analysis!F100,IF(Fin_Analysis!C108="Dividend",Fin_Analysis!F103,Fin_Analysis!F106))</f>
        <v>52.920377869199221</v>
      </c>
      <c r="G29" s="278">
        <f>IF(Fin_Analysis!C108="Profit",Fin_Analysis!I100,IF(Fin_Analysis!C108="Dividend",Fin_Analysis!I103,Fin_Analysis!I106))</f>
        <v>72.233238298255429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agree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agree</v>
      </c>
    </row>
    <row r="37" spans="1:3" ht="15.75" customHeight="1" x14ac:dyDescent="0.4">
      <c r="A37"/>
      <c r="B37" s="20" t="s">
        <v>234</v>
      </c>
      <c r="C37" s="245" t="str">
        <f>Inputs!C19</f>
        <v>agree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agree</v>
      </c>
    </row>
    <row r="40" spans="1:3" ht="15.75" customHeight="1" x14ac:dyDescent="0.4">
      <c r="A40"/>
      <c r="B40" s="1" t="s">
        <v>226</v>
      </c>
      <c r="C40" s="245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77862.607843137259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USD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116484</v>
      </c>
      <c r="D6" s="200">
        <f>IF(Inputs!D25="","",Inputs!D25)</f>
        <v>67950</v>
      </c>
      <c r="E6" s="200">
        <f>IF(Inputs!E25="","",Inputs!E25)</f>
        <v>52976</v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0.71426048565121403</v>
      </c>
      <c r="D7" s="92">
        <f t="shared" si="1"/>
        <v>0.28265629719118102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3771</v>
      </c>
      <c r="D8" s="199">
        <f>IF(Inputs!D26="","",Inputs!D26)</f>
        <v>3354</v>
      </c>
      <c r="E8" s="199">
        <f>IF(Inputs!E26="","",Inputs!E26)</f>
        <v>3691</v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112713</v>
      </c>
      <c r="D9" s="151">
        <f t="shared" si="2"/>
        <v>64596</v>
      </c>
      <c r="E9" s="151">
        <f t="shared" si="2"/>
        <v>49285</v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32070</v>
      </c>
      <c r="D10" s="199">
        <f>IF(Inputs!D27="","",Inputs!D27)</f>
        <v>32701</v>
      </c>
      <c r="E10" s="199">
        <f>IF(Inputs!E27="","",Inputs!E27)</f>
        <v>34620</v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>
        <f>IF(Inputs!C30="","",MAX(Inputs!C30,0)/(1-Fin_Analysis!$I$84))</f>
        <v>2780.3921568627452</v>
      </c>
      <c r="D12" s="199">
        <f>IF(Inputs!D30="","",MAX(Inputs!D30,0)/(1-Fin_Analysis!$I$84))</f>
        <v>2381.6993464052289</v>
      </c>
      <c r="E12" s="199">
        <f>IF(Inputs!E30="","",MAX(Inputs!E30,0)/(1-Fin_Analysis!$I$84))</f>
        <v>2717.6470588235293</v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0.66844036814615959</v>
      </c>
      <c r="D13" s="229">
        <f t="shared" si="3"/>
        <v>0.43433849379830419</v>
      </c>
      <c r="E13" s="229">
        <f t="shared" si="3"/>
        <v>0.22552387762716081</v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77862.607843137259</v>
      </c>
      <c r="D14" s="230">
        <f t="shared" ref="D14:M14" si="4">IF(D6="","",D9-D10-MAX(D11,0)-MAX(D12,0))</f>
        <v>29513.300653594772</v>
      </c>
      <c r="E14" s="230">
        <f t="shared" si="4"/>
        <v>11947.35294117647</v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1.6382209417045821</v>
      </c>
      <c r="D15" s="232">
        <f t="shared" ref="D15:M15" si="5">IF(E14="","",IF(ABS(D14+E14)=ABS(D14)+ABS(E14),IF(D14&lt;0,-1,1)*(D14-E14)/E14,"Turn"))</f>
        <v>1.4702794668329739</v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249</v>
      </c>
      <c r="C17" s="199">
        <f>IF(Inputs!C29="","",Inputs!C29)</f>
        <v>65072</v>
      </c>
      <c r="D17" s="199">
        <f>IF(Inputs!D29="","",Inputs!D29)</f>
        <v>22449</v>
      </c>
      <c r="E17" s="199">
        <f>IF(Inputs!E29="","",Inputs!E29)</f>
        <v>9699</v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12790.607843137259</v>
      </c>
      <c r="D22" s="161">
        <f t="shared" ref="D22:M22" si="8">IF(D6="","",D14-MAX(D16,0)-MAX(D17,0)-ABS(MAX(D21,0)-MAX(D19,0)))</f>
        <v>7064.3006535947716</v>
      </c>
      <c r="E22" s="161">
        <f t="shared" si="8"/>
        <v>2248.3529411764703</v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8.4001364994333999E-2</v>
      </c>
      <c r="D23" s="153">
        <f t="shared" si="9"/>
        <v>7.9531861662987494E-2</v>
      </c>
      <c r="E23" s="153">
        <f t="shared" si="9"/>
        <v>3.2467343702808814E-2</v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9784.8150000000023</v>
      </c>
      <c r="D24" s="77">
        <f>IF(D6="","",D22*(1-Fin_Analysis!$I$84))</f>
        <v>5404.1900000000005</v>
      </c>
      <c r="E24" s="77">
        <f>IF(E6="","",E22*(1-Fin_Analysis!$I$84))</f>
        <v>1719.9899999999998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0.81059788793510246</v>
      </c>
      <c r="D25" s="233">
        <f t="shared" ref="D25:M25" si="10">IF(E24="","",IF(ABS(D24+E24)=ABS(D24)+ABS(E24),IF(D24&lt;0,-1,1)*(D24-E24)/E24,"Turn"))</f>
        <v>2.1419891976116148</v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256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3.237354486453075E-2</v>
      </c>
      <c r="D42" s="156">
        <f t="shared" si="34"/>
        <v>4.9359823399558501E-2</v>
      </c>
      <c r="E42" s="156">
        <f t="shared" si="34"/>
        <v>6.9673059498640888E-2</v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0.27531678170392498</v>
      </c>
      <c r="D43" s="153">
        <f t="shared" si="35"/>
        <v>0.48125091979396617</v>
      </c>
      <c r="E43" s="153">
        <f t="shared" si="35"/>
        <v>0.65350347327091518</v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0.55863466227121317</v>
      </c>
      <c r="D45" s="153">
        <f t="shared" si="37"/>
        <v>0.33037527593818983</v>
      </c>
      <c r="E45" s="153">
        <f t="shared" si="37"/>
        <v>0.18308290546662639</v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2.3869305285384647E-2</v>
      </c>
      <c r="D46" s="153">
        <f t="shared" ref="D46:M46" si="38">IF(D6="","",MAX(D12,0)/D6)</f>
        <v>3.5050763008171136E-2</v>
      </c>
      <c r="E46" s="153">
        <f t="shared" si="38"/>
        <v>5.1299589603283173E-2</v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0.10980570587494642</v>
      </c>
      <c r="D48" s="153">
        <f t="shared" si="40"/>
        <v>0.10396321786011437</v>
      </c>
      <c r="E48" s="153">
        <f t="shared" si="40"/>
        <v>4.2440972160534399E-2</v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257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259</v>
      </c>
      <c r="C50" s="272" t="e">
        <f>IF(C6="","",C6/C39)</f>
        <v>#DIV/0!</v>
      </c>
      <c r="D50" s="272" t="e">
        <f t="shared" ref="D50:M50" si="41">IF(D6="","",D6/D39)</f>
        <v>#VALUE!</v>
      </c>
      <c r="E50" s="272" t="e">
        <f t="shared" si="41"/>
        <v>#VALUE!</v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254</v>
      </c>
      <c r="C53" s="153" t="e">
        <f>IF(D6="","",C16/(C6-D6))</f>
        <v>#VALUE!</v>
      </c>
      <c r="D53" s="153" t="e">
        <f t="shared" ref="D53:M53" si="44">IF(E6="","",D16/(D6-E6))</f>
        <v>#VALUE!</v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258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260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5.0874830030000551</v>
      </c>
      <c r="D57" s="153">
        <f t="shared" si="47"/>
        <v>3.1778092554110788</v>
      </c>
      <c r="E57" s="153">
        <f t="shared" si="47"/>
        <v>4.3138244989796455</v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261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262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e">
        <f t="shared" si="50"/>
        <v>#VALUE!</v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263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e">
        <f t="shared" si="51"/>
        <v>#VALUE!</v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116484</v>
      </c>
      <c r="D74" s="209"/>
      <c r="E74" s="238">
        <f>Inputs!E91</f>
        <v>116484</v>
      </c>
      <c r="F74" s="209"/>
      <c r="H74" s="238">
        <f>Inputs!F91</f>
        <v>116484</v>
      </c>
      <c r="I74" s="209"/>
      <c r="K74" s="24"/>
    </row>
    <row r="75" spans="1:11" ht="15" customHeight="1" x14ac:dyDescent="0.4">
      <c r="B75" s="104" t="s">
        <v>102</v>
      </c>
      <c r="C75" s="77">
        <f>Data!C8</f>
        <v>3771</v>
      </c>
      <c r="D75" s="159">
        <f>C75/$C$74</f>
        <v>3.237354486453075E-2</v>
      </c>
      <c r="E75" s="238">
        <f>Inputs!E92</f>
        <v>3771</v>
      </c>
      <c r="F75" s="160">
        <f>E75/E74</f>
        <v>3.237354486453075E-2</v>
      </c>
      <c r="H75" s="238">
        <f>Inputs!F92</f>
        <v>3771</v>
      </c>
      <c r="I75" s="160">
        <f>H75/$H$74</f>
        <v>3.237354486453075E-2</v>
      </c>
      <c r="K75" s="24"/>
    </row>
    <row r="76" spans="1:11" ht="15" customHeight="1" x14ac:dyDescent="0.4">
      <c r="B76" s="35" t="s">
        <v>92</v>
      </c>
      <c r="C76" s="161">
        <f>C74-C75</f>
        <v>112713</v>
      </c>
      <c r="D76" s="210"/>
      <c r="E76" s="162">
        <f>E74-E75</f>
        <v>112713</v>
      </c>
      <c r="F76" s="210"/>
      <c r="H76" s="162">
        <f>H74-H75</f>
        <v>112713</v>
      </c>
      <c r="I76" s="210"/>
      <c r="K76" s="24"/>
    </row>
    <row r="77" spans="1:11" ht="15" customHeight="1" x14ac:dyDescent="0.4">
      <c r="B77" s="104" t="s">
        <v>241</v>
      </c>
      <c r="C77" s="77">
        <f>Data!C10+MAX(Data!C11,0)</f>
        <v>32070</v>
      </c>
      <c r="D77" s="159">
        <f>C77/$C$74</f>
        <v>0.27531678170392498</v>
      </c>
      <c r="E77" s="238">
        <f>Inputs!E93</f>
        <v>32069.999999999996</v>
      </c>
      <c r="F77" s="160">
        <f>E77/E74</f>
        <v>0.27531678170392498</v>
      </c>
      <c r="H77" s="238">
        <f>Inputs!F93</f>
        <v>32069.999999999996</v>
      </c>
      <c r="I77" s="160">
        <f>H77/$H$74</f>
        <v>0.27531678170392498</v>
      </c>
      <c r="K77" s="24"/>
    </row>
    <row r="78" spans="1:11" ht="15" customHeight="1" x14ac:dyDescent="0.4">
      <c r="B78" s="73" t="s">
        <v>167</v>
      </c>
      <c r="C78" s="77">
        <f>MAX(Data!C12,0)</f>
        <v>2780.3921568627452</v>
      </c>
      <c r="D78" s="159">
        <f>C78/$C$74</f>
        <v>2.3869305285384647E-2</v>
      </c>
      <c r="E78" s="180">
        <f>E74*F78</f>
        <v>2780.3921568627452</v>
      </c>
      <c r="F78" s="160">
        <f>I78</f>
        <v>2.3869305285384647E-2</v>
      </c>
      <c r="H78" s="238">
        <f>Inputs!F97</f>
        <v>2780.3921568627452</v>
      </c>
      <c r="I78" s="160">
        <f>H78/$H$74</f>
        <v>2.3869305285384647E-2</v>
      </c>
      <c r="K78" s="24"/>
    </row>
    <row r="79" spans="1:11" ht="15" customHeight="1" x14ac:dyDescent="0.4">
      <c r="B79" s="256" t="s">
        <v>227</v>
      </c>
      <c r="C79" s="257">
        <f>C76-C77-C78</f>
        <v>77862.607843137259</v>
      </c>
      <c r="D79" s="258">
        <f>C79/C74</f>
        <v>0.66844036814615959</v>
      </c>
      <c r="E79" s="259">
        <f>E76-E77-E78</f>
        <v>77862.607843137259</v>
      </c>
      <c r="F79" s="258">
        <f>E79/E74</f>
        <v>0.66844036814615959</v>
      </c>
      <c r="G79" s="260"/>
      <c r="H79" s="259">
        <f>H76-H77-H78</f>
        <v>77862.607843137259</v>
      </c>
      <c r="I79" s="258">
        <f>H79/H74</f>
        <v>0.66844036814615959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249</v>
      </c>
      <c r="C81" s="77">
        <f>MAX(Data!C17,0)</f>
        <v>65072</v>
      </c>
      <c r="D81" s="159">
        <f>C81/$C$74</f>
        <v>0.55863466227121317</v>
      </c>
      <c r="E81" s="180">
        <f>E74*F81</f>
        <v>65071.999999999993</v>
      </c>
      <c r="F81" s="160">
        <f>I81</f>
        <v>0.55863466227121317</v>
      </c>
      <c r="H81" s="238">
        <f>Inputs!F94</f>
        <v>65071.999999999993</v>
      </c>
      <c r="I81" s="160">
        <f>H81/$H$74</f>
        <v>0.55863466227121317</v>
      </c>
      <c r="K81" s="24"/>
    </row>
    <row r="82" spans="1:11" ht="15" customHeight="1" x14ac:dyDescent="0.4">
      <c r="B82" s="28" t="s">
        <v>240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12790.607843137259</v>
      </c>
      <c r="D83" s="164">
        <f>C83/$C$74</f>
        <v>0.10980570587494642</v>
      </c>
      <c r="E83" s="165">
        <f>E79-E81-E82-E80</f>
        <v>12790.607843137266</v>
      </c>
      <c r="F83" s="164">
        <f>E83/E74</f>
        <v>0.10980570587494648</v>
      </c>
      <c r="H83" s="165">
        <f>H79-H81-H82-H80</f>
        <v>12790.607843137266</v>
      </c>
      <c r="I83" s="164">
        <f>H83/$H$74</f>
        <v>0.10980570587494648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0.23499999999999999</v>
      </c>
      <c r="E84" s="212"/>
      <c r="F84" s="179">
        <f t="shared" ref="F84" si="3">I84</f>
        <v>0.23499999999999999</v>
      </c>
      <c r="H84" s="212"/>
      <c r="I84" s="202">
        <f>Inputs!C16</f>
        <v>0.23499999999999999</v>
      </c>
      <c r="K84" s="24"/>
    </row>
    <row r="85" spans="1:11" ht="15" customHeight="1" x14ac:dyDescent="0.4">
      <c r="B85" s="263" t="s">
        <v>159</v>
      </c>
      <c r="C85" s="257">
        <f>C83*(1-I84)</f>
        <v>9784.8150000000023</v>
      </c>
      <c r="D85" s="258">
        <f>C85/$C$74</f>
        <v>8.4001364994333999E-2</v>
      </c>
      <c r="E85" s="264">
        <f>E83*(1-F84)</f>
        <v>9784.8150000000096</v>
      </c>
      <c r="F85" s="258">
        <f>E85/E74</f>
        <v>8.4001364994334068E-2</v>
      </c>
      <c r="G85" s="260"/>
      <c r="H85" s="264">
        <f>H83*(1-I84)</f>
        <v>9784.8150000000096</v>
      </c>
      <c r="I85" s="258">
        <f>H85/$H$74</f>
        <v>8.4001364994334068E-2</v>
      </c>
      <c r="K85" s="24"/>
    </row>
    <row r="86" spans="1:11" ht="15" customHeight="1" x14ac:dyDescent="0.4">
      <c r="B86" s="87" t="s">
        <v>155</v>
      </c>
      <c r="C86" s="167">
        <f>C85*Data!C4/Common_Shares</f>
        <v>0.53738111793761001</v>
      </c>
      <c r="D86" s="209"/>
      <c r="E86" s="168">
        <f>E85*Data!C4/Common_Shares</f>
        <v>0.53738111793761045</v>
      </c>
      <c r="F86" s="209"/>
      <c r="H86" s="168">
        <f>H85*Data!C4/Common_Shares</f>
        <v>0.53738111793761045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5.5967566776828022E-2</v>
      </c>
      <c r="D87" s="209"/>
      <c r="E87" s="262">
        <f>E86*Exchange_Rate/Dashboard!G3</f>
        <v>5.5967566776828064E-2</v>
      </c>
      <c r="F87" s="209"/>
      <c r="H87" s="262">
        <f>H86*Exchange_Rate/Dashboard!G3</f>
        <v>5.5967566776828064E-2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0.82</v>
      </c>
      <c r="D88" s="166">
        <f>C88/C86</f>
        <v>1.5259188918788955</v>
      </c>
      <c r="E88" s="170">
        <f>Inputs!E98</f>
        <v>0.61</v>
      </c>
      <c r="F88" s="166">
        <f>E88/E86</f>
        <v>1.1351347854221043</v>
      </c>
      <c r="H88" s="170">
        <f>Inputs!F98</f>
        <v>0.61</v>
      </c>
      <c r="I88" s="166">
        <f>H88/H86</f>
        <v>1.1351347854221043</v>
      </c>
      <c r="K88" s="24"/>
    </row>
    <row r="89" spans="1:11" ht="15" customHeight="1" x14ac:dyDescent="0.4">
      <c r="B89" s="87" t="s">
        <v>216</v>
      </c>
      <c r="C89" s="261">
        <f>C88*Exchange_Rate/Dashboard!G3</f>
        <v>8.5401967477255508E-2</v>
      </c>
      <c r="D89" s="209"/>
      <c r="E89" s="261">
        <f>E88*Exchange_Rate/Dashboard!G3</f>
        <v>6.3530731903812018E-2</v>
      </c>
      <c r="F89" s="209"/>
      <c r="H89" s="261">
        <f>H88*Exchange_Rate/Dashboard!G3</f>
        <v>6.3530731903812018E-2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HK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204</v>
      </c>
      <c r="F93" s="144">
        <f>FV(E87,D93,0,-(E86/(C93-D94)))*Exchange_Rate</f>
        <v>90.483081696242806</v>
      </c>
      <c r="H93" s="87" t="s">
        <v>204</v>
      </c>
      <c r="I93" s="144">
        <f>FV(H87,D93,0,-(H86/(C93-D94)))*Exchange_Rate</f>
        <v>90.483081696242806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106.44178239242976</v>
      </c>
      <c r="H94" s="87" t="s">
        <v>205</v>
      </c>
      <c r="I94" s="144">
        <f>FV(H89,D93,0,-(H88/(C93-D94)))*Exchange_Rate</f>
        <v>106.44178239242976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819121.63746983407</v>
      </c>
      <c r="D97" s="213"/>
      <c r="E97" s="123">
        <f>PV(C94,D93,0,-F93)</f>
        <v>44.986083157466446</v>
      </c>
      <c r="F97" s="213"/>
      <c r="H97" s="123">
        <f>PV(C94,D93,0,-I93)</f>
        <v>44.986083157466446</v>
      </c>
      <c r="I97" s="123">
        <f>PV(C93,D93,0,-I93)</f>
        <v>61.403387421949624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819121.63746983407</v>
      </c>
      <c r="D100" s="109">
        <f>MIN(F100*(1-C94),E100)</f>
        <v>38.238170683846477</v>
      </c>
      <c r="E100" s="109">
        <f>MAX(E97+H98+E99,0)</f>
        <v>44.986083157466446</v>
      </c>
      <c r="F100" s="109">
        <f>(E100+H100)/2</f>
        <v>44.986083157466446</v>
      </c>
      <c r="H100" s="109">
        <f>MAX(C100*Data!$C$4/Common_Shares,0)</f>
        <v>44.986083157466446</v>
      </c>
      <c r="I100" s="109">
        <f>MAX(I97+H98+H99,0)</f>
        <v>61.403387421949624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963591.92739691166</v>
      </c>
      <c r="D103" s="109">
        <f>MIN(F103*(1-C94),E103)</f>
        <v>44.982321188819334</v>
      </c>
      <c r="E103" s="123">
        <f>PV(C94,D93,0,-F94)</f>
        <v>52.920377869199221</v>
      </c>
      <c r="F103" s="109">
        <f>(E103+H103)/2</f>
        <v>52.920377869199221</v>
      </c>
      <c r="H103" s="123">
        <f>PV(C94,D93,0,-I94)</f>
        <v>52.920377869199221</v>
      </c>
      <c r="I103" s="109">
        <f>PV(C93,D93,0,-I94)</f>
        <v>72.233238298255429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891356.78243337281</v>
      </c>
      <c r="D106" s="109">
        <f>(D100+D103)/2</f>
        <v>41.610245936332902</v>
      </c>
      <c r="E106" s="123">
        <f>(E100+E103)/2</f>
        <v>48.953230513332834</v>
      </c>
      <c r="F106" s="109">
        <f>(F100+F103)/2</f>
        <v>48.953230513332834</v>
      </c>
      <c r="H106" s="123">
        <f>(H100+H103)/2</f>
        <v>48.953230513332834</v>
      </c>
      <c r="I106" s="123">
        <f>(I100+I103)/2</f>
        <v>66.818312860102523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