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39D005-3456-4A10-B34D-CF8869D7D5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7" i="3"/>
  <c r="M53" i="2"/>
  <c r="F96" i="4" l="1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G53" i="2"/>
  <c r="H50" i="2"/>
  <c r="E53" i="2"/>
  <c r="F50" i="2"/>
  <c r="F53" i="2"/>
  <c r="G50" i="2"/>
  <c r="J53" i="2"/>
  <c r="K50" i="2"/>
  <c r="I53" i="2"/>
  <c r="J50" i="2"/>
  <c r="D53" i="2"/>
  <c r="E50" i="2"/>
  <c r="K53" i="2"/>
  <c r="L50" i="2"/>
  <c r="C53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L59" i="2" l="1"/>
  <c r="G57" i="2"/>
  <c r="K59" i="2"/>
  <c r="D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55" i="2" s="1"/>
  <c r="C61" i="2" l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<sst xmlns="http://schemas.openxmlformats.org/spreadsheetml/2006/main" count="393" uniqueCount="273">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</sst>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265</v>
      </c>
    </row>
    <row r="5" spans="1:5" ht="13.9" x14ac:dyDescent="0.4">
      <c r="B5" s="141" t="s">
        <v>191</v>
      </c>
      <c r="C5" s="191" t="s">
        <v>266</v>
      </c>
    </row>
    <row r="6" spans="1:5" ht="13.9" x14ac:dyDescent="0.4">
      <c r="B6" s="141" t="s">
        <v>159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267</v>
      </c>
      <c r="E8" s="267"/>
    </row>
    <row r="9" spans="1:5" ht="13.9" x14ac:dyDescent="0.4">
      <c r="B9" s="140" t="s">
        <v>212</v>
      </c>
      <c r="C9" s="192" t="s">
        <v>268</v>
      </c>
    </row>
    <row r="10" spans="1:5" ht="13.9" x14ac:dyDescent="0.4">
      <c r="B10" s="140" t="s">
        <v>213</v>
      </c>
      <c r="C10" s="193">
        <v>1882267536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249</v>
      </c>
      <c r="C15" s="176" t="s">
        <v>185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220</v>
      </c>
      <c r="C17" s="242" t="s">
        <v>269</v>
      </c>
      <c r="D17" s="24"/>
    </row>
    <row r="18" spans="2:13" ht="13.9" x14ac:dyDescent="0.4">
      <c r="B18" s="240" t="s">
        <v>234</v>
      </c>
      <c r="C18" s="242" t="s">
        <v>269</v>
      </c>
      <c r="D18" s="24"/>
    </row>
    <row r="19" spans="2:13" ht="13.9" x14ac:dyDescent="0.4">
      <c r="B19" s="240" t="s">
        <v>235</v>
      </c>
      <c r="C19" s="242" t="s">
        <v>269</v>
      </c>
      <c r="D19" s="24"/>
    </row>
    <row r="20" spans="2:13" ht="13.9" x14ac:dyDescent="0.4">
      <c r="B20" s="241" t="s">
        <v>224</v>
      </c>
      <c r="C20" s="242" t="s">
        <v>269</v>
      </c>
      <c r="D20" s="24"/>
    </row>
    <row r="21" spans="2:13" ht="13.9" x14ac:dyDescent="0.4">
      <c r="B21" s="224" t="s">
        <v>227</v>
      </c>
      <c r="C21" s="242" t="s">
        <v>269</v>
      </c>
      <c r="D21" s="24"/>
    </row>
    <row r="22" spans="2:13" ht="78.75" x14ac:dyDescent="0.4">
      <c r="B22" s="226" t="s">
        <v>226</v>
      </c>
      <c r="C22" s="243" t="s">
        <v>270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7.2148541114058357E-2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103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242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250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0011.HK</v>
      </c>
      <c r="D3" s="282"/>
      <c r="E3" s="87"/>
      <c r="F3" s="3" t="s">
        <v>1</v>
      </c>
      <c r="G3" s="132">
        <v>94.25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恒生銀行</v>
      </c>
      <c r="D4" s="284"/>
      <c r="E4" s="87"/>
      <c r="F4" s="3" t="s">
        <v>3</v>
      </c>
      <c r="G4" s="287">
        <f>Inputs!C10</f>
        <v>1882267536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45606</v>
      </c>
      <c r="D5" s="286"/>
      <c r="E5" s="34"/>
      <c r="F5" s="35" t="s">
        <v>97</v>
      </c>
      <c r="G5" s="279">
        <f>G3*G4/1000000</f>
        <v>177403.715268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4.1966617135767562E-2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0.39159225009737869</v>
      </c>
      <c r="F24" s="140" t="s">
        <v>252</v>
      </c>
      <c r="G24" s="268">
        <f>G3/(Fin_Analysis!H86*G7)</f>
        <v>9.4115373943213658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0.67902869264069265</v>
      </c>
    </row>
    <row r="26" spans="1:8" ht="15.75" customHeight="1" x14ac:dyDescent="0.4">
      <c r="B26" s="138" t="s">
        <v>169</v>
      </c>
      <c r="C26" s="171">
        <f>Fin_Analysis!I83</f>
        <v>0.35546835552606143</v>
      </c>
      <c r="F26" s="141" t="s">
        <v>189</v>
      </c>
      <c r="G26" s="178">
        <f>Fin_Analysis!H88*Exchange_Rate/G3</f>
        <v>7.2148541114058357E-2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251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67.152421819923219</v>
      </c>
      <c r="D29" s="129">
        <f>G29*(1+G20)</f>
        <v>124.00943911612795</v>
      </c>
      <c r="E29" s="87"/>
      <c r="F29" s="131">
        <f>IF(Fin_Analysis!C108="Profit",Fin_Analysis!F100,IF(Fin_Analysis!C108="Dividend",Fin_Analysis!F103,Fin_Analysis!F106))</f>
        <v>79.002849199909676</v>
      </c>
      <c r="G29" s="278">
        <f>IF(Fin_Analysis!C108="Profit",Fin_Analysis!I100,IF(Fin_Analysis!C108="Dividend",Fin_Analysis!I103,Fin_Analysis!I106))</f>
        <v>107.83429488358954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agree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1.1016233766233767</v>
      </c>
      <c r="D57" s="153">
        <f t="shared" si="47"/>
        <v>0.49517219182491151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103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93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250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160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156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0.10625256619639736</v>
      </c>
      <c r="D87" s="209"/>
      <c r="E87" s="262">
        <f>E86*Exchange_Rate/Dashboard!G3</f>
        <v>0.10625256619639736</v>
      </c>
      <c r="F87" s="209"/>
      <c r="H87" s="262">
        <f>H86*Exchange_Rate/Dashboard!G3</f>
        <v>0.10625256619639736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217</v>
      </c>
      <c r="C89" s="261">
        <f>C88*Exchange_Rate/Dashboard!G3</f>
        <v>7.2148541114058357E-2</v>
      </c>
      <c r="D89" s="209"/>
      <c r="E89" s="261">
        <f>E88*Exchange_Rate/Dashboard!G3</f>
        <v>7.2148541114058357E-2</v>
      </c>
      <c r="F89" s="209"/>
      <c r="H89" s="261">
        <f>H88*Exchange_Rate/Dashboard!G3</f>
        <v>7.2148541114058357E-2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273.67838027487255</v>
      </c>
      <c r="H93" s="87" t="s">
        <v>205</v>
      </c>
      <c r="I93" s="144">
        <f>FV(H87,D93,0,-(H86/(C93-D94)))*Exchange_Rate</f>
        <v>273.67838027487255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158.90294857121691</v>
      </c>
      <c r="H94" s="87" t="s">
        <v>206</v>
      </c>
      <c r="I94" s="144">
        <f>FV(H89,D93,0,-(H88/(C93-D94)))*Exchange_Rate</f>
        <v>158.90294857121691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256113.60015907444</v>
      </c>
      <c r="D97" s="213"/>
      <c r="E97" s="123">
        <f>PV(C94,D93,0,-F93)</f>
        <v>136.06652362678503</v>
      </c>
      <c r="F97" s="213"/>
      <c r="H97" s="123">
        <f>PV(C94,D93,0,-I93)</f>
        <v>136.06652362678503</v>
      </c>
      <c r="I97" s="123">
        <f>PV(C93,D93,0,-I93)</f>
        <v>185.72289203681547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256113.60015907444</v>
      </c>
      <c r="D100" s="109">
        <f>MIN(F100*(1-C94),E100)</f>
        <v>115.65654508276727</v>
      </c>
      <c r="E100" s="109">
        <f>MAX(E97+H98+E99,0)</f>
        <v>136.06652362678503</v>
      </c>
      <c r="F100" s="109">
        <f>(E100+H100)/2</f>
        <v>136.06652362678503</v>
      </c>
      <c r="H100" s="109">
        <f>MAX(C100*Data!$C$4/Common_Shares,0)</f>
        <v>136.06652362678503</v>
      </c>
      <c r="I100" s="109">
        <f>MAX(I97+H98+H99,0)</f>
        <v>185.72289203681547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148704.49830049355</v>
      </c>
      <c r="D103" s="109">
        <f>MIN(F103*(1-C94),E103)</f>
        <v>67.152421819923219</v>
      </c>
      <c r="E103" s="123">
        <f>PV(C94,D93,0,-F94)</f>
        <v>79.002849199909676</v>
      </c>
      <c r="F103" s="109">
        <f>(E103+H103)/2</f>
        <v>79.002849199909676</v>
      </c>
      <c r="H103" s="123">
        <f>PV(C94,D93,0,-I94)</f>
        <v>79.002849199909676</v>
      </c>
      <c r="I103" s="109">
        <f>PV(C93,D93,0,-I94)</f>
        <v>107.83429488358954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202409.049229784</v>
      </c>
      <c r="D106" s="109">
        <f>(D100+D103)/2</f>
        <v>91.404483451345243</v>
      </c>
      <c r="E106" s="123">
        <f>(E100+E103)/2</f>
        <v>107.53468641334734</v>
      </c>
      <c r="F106" s="109">
        <f>(F100+F103)/2</f>
        <v>107.53468641334734</v>
      </c>
      <c r="H106" s="123">
        <f>(H100+H103)/2</f>
        <v>107.53468641334734</v>
      </c>
      <c r="I106" s="123">
        <f>(I100+I103)/2</f>
        <v>146.7785934602025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