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71D0384-5D53-431C-8078-D397ACBD717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B7" i="3"/>
  <c r="M53" i="2"/>
  <c r="F95" i="4" l="1"/>
  <c r="F96" i="4"/>
  <c r="F9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M27" i="2"/>
  <c r="M55" i="2"/>
  <c r="I27" i="2"/>
  <c r="I55" i="2"/>
  <c r="I53" i="2"/>
  <c r="J50" i="2"/>
  <c r="G53" i="2"/>
  <c r="H50" i="2"/>
  <c r="J53" i="2"/>
  <c r="K50" i="2"/>
  <c r="E53" i="2"/>
  <c r="F50" i="2"/>
  <c r="F53" i="2"/>
  <c r="G50" i="2"/>
  <c r="D53" i="2"/>
  <c r="E50" i="2"/>
  <c r="K53" i="2"/>
  <c r="L50" i="2"/>
  <c r="H53" i="2"/>
  <c r="I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E22" i="2"/>
  <c r="E61" i="2" s="1"/>
  <c r="E60" i="2"/>
  <c r="D22" i="2"/>
  <c r="D61" i="2" s="1"/>
  <c r="D60" i="2"/>
  <c r="G22" i="2"/>
  <c r="G61" i="2" s="1"/>
  <c r="G60" i="2"/>
  <c r="L15" i="2"/>
  <c r="M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E13" i="2"/>
  <c r="L13" i="2"/>
  <c r="E40" i="2"/>
  <c r="G13" i="2"/>
  <c r="G59" i="2" s="1"/>
  <c r="E57" i="2"/>
  <c r="D40" i="2"/>
  <c r="D13" i="2"/>
  <c r="G40" i="2"/>
  <c r="K56" i="2"/>
  <c r="L24" i="2"/>
  <c r="L23" i="2" s="1"/>
  <c r="M57" i="2"/>
  <c r="M56" i="2"/>
  <c r="L59" i="2" l="1"/>
  <c r="D59" i="2"/>
  <c r="K59" i="2"/>
  <c r="D56" i="2"/>
  <c r="E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E99" i="3"/>
  <c r="G23" i="1"/>
  <c r="E53" i="3" s="1"/>
  <c r="C27" i="2"/>
  <c r="C37" i="2"/>
  <c r="C55" i="2" s="1"/>
  <c r="C61" i="2" l="1"/>
  <c r="C59" i="2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<sst xmlns="http://schemas.openxmlformats.org/spreadsheetml/2006/main" count="393" uniqueCount="273">
  <si>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</si>
  <si>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</si>
  <si>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</si>
  <si>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</si>
  <si>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</si>
  <si>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</si>
  <si>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</si>
  <si>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</si>
  <si>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</si>
  <si>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</si>
  <si>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</si>
  <si>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</si>
  <si>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</si>
  <si>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</si>
  <si>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</si>
  <si>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</si>
  <si>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</si>
  <si>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</si>
  <si>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</si>
  <si>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</si>
  <si>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</si>
  <si>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</si>
  <si>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</si>
  <si>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</si>
  <si>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</si>
  <si>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</si>
  <si>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</si>
  <si>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</si>
  <si>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</si>
  <si>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</si>
  <si>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</si>
  <si>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</si>
  <si>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</si>
  <si>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</si>
  <si>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</si>
  <si>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</si>
  <si>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</si>
  <si>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</si>
  <si>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</si>
  <si>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</si>
  <si>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</si>
  <si>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</si>
  <si>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</si>
  <si>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</si>
  <si>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</si>
  <si>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</si>
  <si>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</si>
  <si>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</si>
  <si>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</si>
  <si>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</si>
  <si>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</si>
  <si>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</si>
  <si>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</si>
  <si>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</si>
  <si>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</si>
  <si>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</si>
  <si>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</si>
  <si>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</si>
  <si>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</si>
  <si>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</si>
  <si>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</si>
  <si>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</si>
  <si>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</si>
  <si>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</si>
  <si>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</si>
  <si>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</si>
  <si>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</si>
  <si>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</si>
  <si>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</si>
  <si>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</si>
  <si>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</si>
  <si>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</si>
  <si>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</si>
  <si>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</si>
  <si>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</si>
  <si>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</si>
  <si>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</si>
  <si>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</si>
  <si>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</si>
  <si>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</si>
  <si>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</si>
  <si>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</si>
  <si>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</si>
  <si>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</si>
  <si>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</si>
  <si>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</si>
  <si>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</si>
  <si>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</si>
  <si>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</si>
  <si>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</si>
  <si>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</si>
  <si>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</si>
  <si>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</si>
  <si>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</si>
  <si>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</si>
  <si>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</si>
  <si>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</si>
  <si>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</si>
  <si>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</si>
  <si>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</si>
  <si>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</si>
  <si>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</si>
  <si>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</si>
  <si>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</si>
  <si>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</si>
  <si>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</si>
  <si>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</si>
  <si>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</si>
  <si>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</si>
  <si>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</si>
  <si>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</si>
  <si>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</si>
  <si>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</si>
  <si>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</si>
  <si>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</si>
  <si>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</si>
  <si>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</si>
  <si>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</si>
  <si>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</si>
  <si>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</si>
  <si>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</si>
  <si>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</si>
  <si>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</si>
  <si>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</si>
  <si>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</si>
  <si>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</si>
  <si>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</si>
  <si>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</si>
  <si>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</si>
  <si>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</si>
  <si>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</si>
  <si>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</si>
  <si>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</si>
  <si>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</si>
  <si>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</si>
  <si>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</si>
  <si>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</si>
  <si>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</si>
  <si>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</si>
  <si>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</si>
  <si>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</si>
  <si>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</si>
  <si>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</si>
  <si>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</si>
  <si>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</si>
  <si>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</si>
  <si>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</si>
  <si>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</si>
  <si>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</si>
  <si>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</si>
  <si>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</si>
  <si>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</si>
  <si>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</si>
  <si>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</si>
  <si>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</si>
  <si>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</si>
  <si>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</si>
  <si>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</si>
  <si>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</si>
  <si>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</si>
  <si>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</si>
  <si>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</si>
  <si>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</si>
  <si>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</si>
  <si>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</si>
  <si>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</si>
  <si>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</si>
  <si>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</si>
  <si>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</si>
  <si>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</si>
  <si>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</si>
  <si>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</si>
  <si>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</si>
  <si>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</si>
  <si>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</si>
  <si>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</si>
  <si>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</si>
  <si>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</si>
  <si>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</si>
  <si>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</si>
  <si>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</si>
  <si>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</si>
  <si>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</si>
  <si>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</si>
  <si>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</si>
  <si>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</si>
  <si>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</si>
  <si>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</si>
  <si>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</si>
  <si>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</si>
  <si>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</si>
  <si>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</si>
  <si>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</si>
  <si>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</si>
  <si>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</si>
  <si>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</si>
  <si>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</si>
  <si>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</si>
  <si>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</si>
  <si>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</si>
  <si>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</si>
  <si>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</si>
  <si>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</si>
  <si>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</si>
  <si>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</si>
  <si>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</si>
  <si>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</si>
  <si>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</si>
  <si>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</si>
  <si>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</si>
  <si>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</si>
  <si>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</si>
  <si>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</si>
  <si>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</si>
  <si>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</si>
  <si>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</si>
  <si>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</si>
  <si>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</si>
  <si>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</si>
  <si>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</si>
  <si>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</si>
  <si>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</si>
  <si>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</si>
  <si>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</si>
  <si>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</si>
  <si>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</si>
  <si>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</si>
  <si>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</si>
  <si>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</si>
  <si>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</si>
  <si>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</si>
  <si>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</si>
  <si>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</si>
  <si>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</si>
  <si>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</si>
  <si>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</si>
  <si>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</si>
  <si>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</si>
  <si>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</si>
  <si>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</si>
  <si>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</si>
  <si>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</si>
  <si>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</si>
  <si>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</si>
  <si>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</si>
  <si>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</si>
  <si>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</si>
  <si>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</si>
  <si>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</si>
  <si>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</si>
  <si>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</si>
  <si>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</si>
  <si>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</si>
  <si>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</si>
  <si>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</si>
  <si>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</si>
  <si>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</si>
  <si>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</si>
  <si>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</si>
  <si>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</si>
  <si>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</si>
  <si>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</si>
  <si>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</si>
  <si>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</si>
  <si>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</si>
  <si>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</si>
  <si>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</si>
  <si>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0027.HK</t>
  </si>
  <si>
    <t>銀河娛樂</t>
  </si>
  <si>
    <t>C0011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</si>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</sst>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0.47272944175123971</c:v>
                </c:pt>
                <c:pt idx="1">
                  <c:v>0.35112695227219692</c:v>
                </c:pt>
                <c:pt idx="2">
                  <c:v>1.6858097812807804E-3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0.17445779619528262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210</v>
      </c>
    </row>
    <row r="4" spans="1:5" ht="13.9" x14ac:dyDescent="0.4">
      <c r="B4" s="141" t="s">
        <v>190</v>
      </c>
      <c r="C4" s="188" t="s">
        <v>267</v>
      </c>
    </row>
    <row r="5" spans="1:5" ht="13.9" x14ac:dyDescent="0.4">
      <c r="B5" s="141" t="s">
        <v>191</v>
      </c>
      <c r="C5" s="191" t="s">
        <v>268</v>
      </c>
    </row>
    <row r="6" spans="1:5" ht="13.9" x14ac:dyDescent="0.4">
      <c r="B6" s="141" t="s">
        <v>159</v>
      </c>
      <c r="C6" s="189">
        <v>45603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211</v>
      </c>
      <c r="C8" s="191" t="s">
        <v>68</v>
      </c>
      <c r="E8" s="267"/>
    </row>
    <row r="9" spans="1:5" ht="13.9" x14ac:dyDescent="0.4">
      <c r="B9" s="140" t="s">
        <v>212</v>
      </c>
      <c r="C9" s="192" t="s">
        <v>269</v>
      </c>
    </row>
    <row r="10" spans="1:5" ht="13.9" x14ac:dyDescent="0.4">
      <c r="B10" s="140" t="s">
        <v>213</v>
      </c>
      <c r="C10" s="193">
        <v>4373586962</v>
      </c>
    </row>
    <row r="11" spans="1:5" ht="13.9" x14ac:dyDescent="0.4">
      <c r="B11" s="140" t="s">
        <v>214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215</v>
      </c>
      <c r="C14" s="219">
        <v>45473</v>
      </c>
    </row>
    <row r="15" spans="1:5" ht="13.9" x14ac:dyDescent="0.4">
      <c r="B15" s="218" t="s">
        <v>251</v>
      </c>
      <c r="C15" s="176" t="s">
        <v>185</v>
      </c>
    </row>
    <row r="16" spans="1:5" ht="13.9" x14ac:dyDescent="0.4">
      <c r="B16" s="222" t="s">
        <v>94</v>
      </c>
      <c r="C16" s="223">
        <v>0.23499999999999999</v>
      </c>
      <c r="D16" s="24"/>
    </row>
    <row r="17" spans="2:13" ht="13.9" x14ac:dyDescent="0.4">
      <c r="B17" s="240" t="s">
        <v>220</v>
      </c>
      <c r="C17" s="242" t="s">
        <v>270</v>
      </c>
      <c r="D17" s="24"/>
    </row>
    <row r="18" spans="2:13" ht="13.9" x14ac:dyDescent="0.4">
      <c r="B18" s="240" t="s">
        <v>234</v>
      </c>
      <c r="C18" s="242" t="s">
        <v>241</v>
      </c>
      <c r="D18" s="24"/>
    </row>
    <row r="19" spans="2:13" ht="13.9" x14ac:dyDescent="0.4">
      <c r="B19" s="240" t="s">
        <v>235</v>
      </c>
      <c r="C19" s="242" t="s">
        <v>270</v>
      </c>
      <c r="D19" s="24"/>
    </row>
    <row r="20" spans="2:13" ht="13.9" x14ac:dyDescent="0.4">
      <c r="B20" s="241" t="s">
        <v>224</v>
      </c>
      <c r="C20" s="242" t="s">
        <v>270</v>
      </c>
      <c r="D20" s="24"/>
    </row>
    <row r="21" spans="2:13" ht="13.9" x14ac:dyDescent="0.4">
      <c r="B21" s="224" t="s">
        <v>227</v>
      </c>
      <c r="C21" s="242" t="s">
        <v>241</v>
      </c>
      <c r="D21" s="24"/>
    </row>
    <row r="22" spans="2:13" ht="78.75" x14ac:dyDescent="0.4">
      <c r="B22" s="226" t="s">
        <v>226</v>
      </c>
      <c r="C22" s="243" t="s">
        <v>271</v>
      </c>
      <c r="D22" s="24"/>
    </row>
    <row r="24" spans="2:13" ht="13.9" x14ac:dyDescent="0.4">
      <c r="B24" s="115" t="s">
        <v>130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35684253</v>
      </c>
      <c r="D25" s="149">
        <v>11473793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16868997</v>
      </c>
      <c r="D26" s="150">
        <v>6522891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12529703</v>
      </c>
      <c r="D27" s="150">
        <v>8392476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252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46020</v>
      </c>
      <c r="D30" s="150">
        <v>-14407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145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203</v>
      </c>
      <c r="C44" s="250">
        <f>0.5+0.3</f>
        <v>0.8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248</v>
      </c>
      <c r="C45" s="152">
        <f>IF(C44="","",C44*Exchange_Rate/Dashboard!$G$3)</f>
        <v>2.318840579710145E-2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245</v>
      </c>
      <c r="C47" s="194" t="s">
        <v>31</v>
      </c>
      <c r="D47" s="194" t="s">
        <v>192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154</v>
      </c>
      <c r="C53" s="59"/>
      <c r="D53" s="60">
        <f>D50</f>
        <v>0.6</v>
      </c>
      <c r="E53" s="112"/>
    </row>
    <row r="54" spans="2:5" ht="13.9" x14ac:dyDescent="0.4">
      <c r="B54" s="3" t="s">
        <v>256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155</v>
      </c>
      <c r="C63" s="59"/>
      <c r="D63" s="60">
        <f>D62</f>
        <v>0.5</v>
      </c>
      <c r="E63" s="112"/>
    </row>
    <row r="64" spans="2:5" ht="13.9" x14ac:dyDescent="0.4">
      <c r="B64" s="3" t="s">
        <v>255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216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246</v>
      </c>
      <c r="C86" s="197">
        <v>5</v>
      </c>
    </row>
    <row r="87" spans="2:8" ht="13.9" x14ac:dyDescent="0.4">
      <c r="B87" s="10" t="s">
        <v>244</v>
      </c>
      <c r="C87" s="236" t="s">
        <v>247</v>
      </c>
      <c r="D87" s="269">
        <v>0.02</v>
      </c>
    </row>
    <row r="89" spans="2:8" ht="13.5" x14ac:dyDescent="0.35">
      <c r="B89" s="106" t="s">
        <v>124</v>
      </c>
      <c r="C89" s="275">
        <f>C24</f>
        <v>45291</v>
      </c>
      <c r="D89" s="275"/>
      <c r="E89" s="89" t="s">
        <v>202</v>
      </c>
      <c r="F89" s="89" t="s">
        <v>201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6" t="s">
        <v>98</v>
      </c>
      <c r="D90" s="276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35684253</v>
      </c>
      <c r="D91" s="209"/>
      <c r="E91" s="251">
        <f>C91</f>
        <v>35684253</v>
      </c>
      <c r="F91" s="251">
        <f>C91</f>
        <v>35684253</v>
      </c>
    </row>
    <row r="92" spans="2:8" ht="13.9" x14ac:dyDescent="0.4">
      <c r="B92" s="104" t="s">
        <v>103</v>
      </c>
      <c r="C92" s="77">
        <f>C26</f>
        <v>16868997</v>
      </c>
      <c r="D92" s="159">
        <f>C92/C91</f>
        <v>0.47272944175123971</v>
      </c>
      <c r="E92" s="252">
        <f>E91*D92</f>
        <v>16868997</v>
      </c>
      <c r="F92" s="252">
        <f>F91*D92</f>
        <v>16868997</v>
      </c>
    </row>
    <row r="93" spans="2:8" ht="13.9" x14ac:dyDescent="0.4">
      <c r="B93" s="104" t="s">
        <v>243</v>
      </c>
      <c r="C93" s="77">
        <f>C27+C28</f>
        <v>12529703</v>
      </c>
      <c r="D93" s="159">
        <f>C93/C91</f>
        <v>0.35112695227219692</v>
      </c>
      <c r="E93" s="252">
        <f>E91*D93</f>
        <v>12529703</v>
      </c>
      <c r="F93" s="252">
        <f>F91*D93</f>
        <v>12529703</v>
      </c>
    </row>
    <row r="94" spans="2:8" ht="13.9" x14ac:dyDescent="0.4">
      <c r="B94" s="104" t="s">
        <v>252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242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168</v>
      </c>
      <c r="C97" s="77">
        <f>MAX(C30,0)/(1-C16)</f>
        <v>60156.862745098035</v>
      </c>
      <c r="D97" s="159">
        <f>C97/C91</f>
        <v>1.6858097812807804E-3</v>
      </c>
      <c r="E97" s="253"/>
      <c r="F97" s="252">
        <f>F91*D97</f>
        <v>60156.862745098035</v>
      </c>
    </row>
    <row r="98" spans="2:7" ht="13.9" x14ac:dyDescent="0.4">
      <c r="B98" s="86" t="s">
        <v>203</v>
      </c>
      <c r="C98" s="237">
        <f>C44</f>
        <v>0.8</v>
      </c>
      <c r="D98" s="266"/>
      <c r="E98" s="254">
        <f>F98</f>
        <v>0.5</v>
      </c>
      <c r="F98" s="254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190</v>
      </c>
      <c r="C3" s="281" t="str">
        <f>Inputs!C4</f>
        <v>0027.HK</v>
      </c>
      <c r="D3" s="282"/>
      <c r="E3" s="87"/>
      <c r="F3" s="3" t="s">
        <v>1</v>
      </c>
      <c r="G3" s="132">
        <v>34.5</v>
      </c>
      <c r="H3" s="134" t="s">
        <v>272</v>
      </c>
    </row>
    <row r="4" spans="1:10" ht="15.75" customHeight="1" x14ac:dyDescent="0.4">
      <c r="B4" s="35" t="s">
        <v>191</v>
      </c>
      <c r="C4" s="283" t="str">
        <f>Inputs!C5</f>
        <v>銀河娛樂</v>
      </c>
      <c r="D4" s="284"/>
      <c r="E4" s="87"/>
      <c r="F4" s="3" t="s">
        <v>3</v>
      </c>
      <c r="G4" s="287">
        <f>Inputs!C10</f>
        <v>4373586962</v>
      </c>
      <c r="H4" s="287"/>
      <c r="I4" s="39"/>
    </row>
    <row r="5" spans="1:10" ht="15.75" customHeight="1" x14ac:dyDescent="0.4">
      <c r="B5" s="3" t="s">
        <v>159</v>
      </c>
      <c r="C5" s="285">
        <f>Inputs!C6</f>
        <v>45603</v>
      </c>
      <c r="D5" s="286"/>
      <c r="E5" s="34"/>
      <c r="F5" s="35" t="s">
        <v>97</v>
      </c>
      <c r="G5" s="279">
        <f>G3*G4/1000000</f>
        <v>150888.75018900001</v>
      </c>
      <c r="H5" s="279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0" t="str">
        <f>Inputs!C11</f>
        <v>HKD</v>
      </c>
      <c r="H6" s="280"/>
      <c r="I6" s="38"/>
    </row>
    <row r="7" spans="1:10" ht="15.75" customHeight="1" x14ac:dyDescent="0.4">
      <c r="B7" s="86" t="s">
        <v>188</v>
      </c>
      <c r="C7" s="187" t="str">
        <f>Inputs!C8</f>
        <v>N</v>
      </c>
      <c r="D7" s="187" t="str">
        <f>Inputs!C9</f>
        <v>C0011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186</v>
      </c>
      <c r="F9" s="143" t="s">
        <v>181</v>
      </c>
    </row>
    <row r="10" spans="1:10" ht="15.75" customHeight="1" x14ac:dyDescent="0.4">
      <c r="B10" s="1" t="s">
        <v>171</v>
      </c>
      <c r="C10" s="172">
        <v>4.2000000000000003E-2</v>
      </c>
      <c r="F10" s="110" t="s">
        <v>178</v>
      </c>
    </row>
    <row r="11" spans="1:10" ht="15.75" customHeight="1" thickBot="1" x14ac:dyDescent="0.45">
      <c r="B11" s="122" t="s">
        <v>175</v>
      </c>
      <c r="C11" s="173">
        <v>5.2299999999999999E-2</v>
      </c>
      <c r="D11" s="137" t="s">
        <v>185</v>
      </c>
      <c r="F11" s="110" t="s">
        <v>173</v>
      </c>
    </row>
    <row r="12" spans="1:10" ht="15.75" customHeight="1" thickTop="1" x14ac:dyDescent="0.4">
      <c r="B12" s="87" t="s">
        <v>249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172</v>
      </c>
      <c r="C14" s="172">
        <v>1.8100000000000002E-2</v>
      </c>
      <c r="F14" s="110" t="s">
        <v>177</v>
      </c>
    </row>
    <row r="15" spans="1:10" ht="15.75" customHeight="1" x14ac:dyDescent="0.4">
      <c r="B15" s="1" t="s">
        <v>182</v>
      </c>
      <c r="C15" s="172">
        <v>6.5000000000000002E-2</v>
      </c>
      <c r="F15" s="110" t="s">
        <v>176</v>
      </c>
    </row>
    <row r="16" spans="1:10" ht="15.75" customHeight="1" thickBot="1" x14ac:dyDescent="0.45">
      <c r="B16" s="122" t="s">
        <v>183</v>
      </c>
      <c r="C16" s="173">
        <v>0.16</v>
      </c>
      <c r="D16" s="265" t="str">
        <f>Inputs!C15</f>
        <v>HK</v>
      </c>
      <c r="F16" s="110" t="s">
        <v>174</v>
      </c>
    </row>
    <row r="17" spans="1:8" ht="15.75" customHeight="1" thickTop="1" x14ac:dyDescent="0.4">
      <c r="B17" s="87" t="s">
        <v>250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179</v>
      </c>
      <c r="C19" s="135" t="s">
        <v>49</v>
      </c>
      <c r="D19" s="87"/>
      <c r="E19" s="87"/>
      <c r="F19" s="142" t="s">
        <v>208</v>
      </c>
      <c r="G19" s="87"/>
      <c r="H19" s="87"/>
    </row>
    <row r="20" spans="1:8" ht="15.75" customHeight="1" x14ac:dyDescent="0.4">
      <c r="B20" s="137" t="s">
        <v>165</v>
      </c>
      <c r="C20" s="171">
        <f>Fin_Analysis!I75</f>
        <v>0.47272944175123971</v>
      </c>
      <c r="F20" s="87" t="s">
        <v>207</v>
      </c>
      <c r="G20" s="172">
        <v>0.15</v>
      </c>
    </row>
    <row r="21" spans="1:8" ht="15.75" customHeight="1" x14ac:dyDescent="0.4">
      <c r="B21" s="137" t="s">
        <v>240</v>
      </c>
      <c r="C21" s="171">
        <f>Fin_Analysis!I77</f>
        <v>0.35112695227219692</v>
      </c>
      <c r="F21" s="87"/>
      <c r="G21" s="29"/>
    </row>
    <row r="22" spans="1:8" ht="15.75" customHeight="1" x14ac:dyDescent="0.4">
      <c r="B22" s="137" t="s">
        <v>187</v>
      </c>
      <c r="C22" s="171">
        <f>Fin_Analysis!I78</f>
        <v>1.6858097812807804E-3</v>
      </c>
      <c r="F22" s="142" t="s">
        <v>180</v>
      </c>
    </row>
    <row r="23" spans="1:8" ht="15.75" customHeight="1" x14ac:dyDescent="0.4">
      <c r="B23" s="137" t="s">
        <v>167</v>
      </c>
      <c r="C23" s="171">
        <f>Fin_Analysis!I80</f>
        <v>0</v>
      </c>
      <c r="F23" s="140" t="s">
        <v>184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166</v>
      </c>
      <c r="C24" s="171">
        <f>Fin_Analysis!I81</f>
        <v>0</v>
      </c>
      <c r="F24" s="140" t="s">
        <v>254</v>
      </c>
      <c r="G24" s="268">
        <f>G3/(Fin_Analysis!H86*G7)</f>
        <v>31.683155895114425</v>
      </c>
    </row>
    <row r="25" spans="1:8" ht="15.75" customHeight="1" x14ac:dyDescent="0.4">
      <c r="B25" s="137" t="s">
        <v>239</v>
      </c>
      <c r="C25" s="171">
        <f>Fin_Analysis!I82</f>
        <v>0</v>
      </c>
      <c r="F25" s="140" t="s">
        <v>170</v>
      </c>
      <c r="G25" s="171">
        <f>Fin_Analysis!I88</f>
        <v>0.45917617239296266</v>
      </c>
    </row>
    <row r="26" spans="1:8" ht="15.75" customHeight="1" x14ac:dyDescent="0.4">
      <c r="B26" s="138" t="s">
        <v>169</v>
      </c>
      <c r="C26" s="171">
        <f>Fin_Analysis!I83</f>
        <v>0.17445779619528262</v>
      </c>
      <c r="F26" s="141" t="s">
        <v>189</v>
      </c>
      <c r="G26" s="178">
        <f>Fin_Analysis!H88*Exchange_Rate/G3</f>
        <v>1.4492753623188406E-2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162</v>
      </c>
      <c r="D28" s="43" t="s">
        <v>163</v>
      </c>
      <c r="E28" s="58"/>
      <c r="F28" s="53" t="s">
        <v>233</v>
      </c>
      <c r="G28" s="277" t="s">
        <v>253</v>
      </c>
      <c r="H28" s="277"/>
    </row>
    <row r="29" spans="1:8" ht="15.75" customHeight="1" x14ac:dyDescent="0.4">
      <c r="B29" s="87" t="s">
        <v>164</v>
      </c>
      <c r="C29" s="130">
        <f>IF(Fin_Analysis!C108="Profit",Fin_Analysis!D100,IF(Fin_Analysis!C108="Dividend",Fin_Analysis!D103,Fin_Analysis!D106))</f>
        <v>8.8663809933736104</v>
      </c>
      <c r="D29" s="129">
        <f>G29*(1+G20)</f>
        <v>16.373421898716206</v>
      </c>
      <c r="E29" s="87"/>
      <c r="F29" s="131">
        <f>IF(Fin_Analysis!C108="Profit",Fin_Analysis!F100,IF(Fin_Analysis!C108="Dividend",Fin_Analysis!F103,Fin_Analysis!F106))</f>
        <v>10.431036462792484</v>
      </c>
      <c r="G29" s="278">
        <f>IF(Fin_Analysis!C108="Profit",Fin_Analysis!I100,IF(Fin_Analysis!C108="Dividend",Fin_Analysis!I103,Fin_Analysis!I106))</f>
        <v>14.237758172796703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218</v>
      </c>
      <c r="C31"/>
    </row>
    <row r="32" spans="1:8" ht="15.75" customHeight="1" x14ac:dyDescent="0.4">
      <c r="A32"/>
      <c r="B32" s="196" t="s">
        <v>219</v>
      </c>
      <c r="C32" s="224"/>
    </row>
    <row r="33" spans="1:3" ht="15.75" customHeight="1" x14ac:dyDescent="0.4">
      <c r="A33"/>
      <c r="B33" s="20" t="s">
        <v>220</v>
      </c>
      <c r="C33" s="245" t="str">
        <f>Inputs!C17</f>
        <v>agree</v>
      </c>
    </row>
    <row r="34" spans="1:3" ht="15.75" customHeight="1" x14ac:dyDescent="0.4">
      <c r="A34"/>
      <c r="B34" s="19" t="s">
        <v>221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222</v>
      </c>
      <c r="C35" s="224"/>
    </row>
    <row r="36" spans="1:3" ht="15.75" customHeight="1" x14ac:dyDescent="0.4">
      <c r="A36"/>
      <c r="B36" s="20" t="s">
        <v>234</v>
      </c>
      <c r="C36" s="245" t="str">
        <f>Inputs!C18</f>
        <v>unclear</v>
      </c>
    </row>
    <row r="37" spans="1:3" ht="15.75" customHeight="1" x14ac:dyDescent="0.4">
      <c r="A37"/>
      <c r="B37" s="20" t="s">
        <v>235</v>
      </c>
      <c r="C37" s="245" t="str">
        <f>Inputs!C19</f>
        <v>agree</v>
      </c>
    </row>
    <row r="38" spans="1:3" ht="15.75" customHeight="1" x14ac:dyDescent="0.4">
      <c r="A38"/>
      <c r="B38" s="196" t="s">
        <v>223</v>
      </c>
      <c r="C38" s="224"/>
    </row>
    <row r="39" spans="1:3" ht="15.75" customHeight="1" x14ac:dyDescent="0.4">
      <c r="A39"/>
      <c r="B39" s="19" t="s">
        <v>224</v>
      </c>
      <c r="C39" s="245" t="str">
        <f>Inputs!C20</f>
        <v>agree</v>
      </c>
    </row>
    <row r="40" spans="1:3" ht="15.75" customHeight="1" x14ac:dyDescent="0.4">
      <c r="A40"/>
      <c r="B40" s="1" t="s">
        <v>227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225</v>
      </c>
      <c r="C42"/>
    </row>
    <row r="43" spans="1:3" ht="65.650000000000006" x14ac:dyDescent="0.4">
      <c r="A43"/>
      <c r="B43" s="226" t="s">
        <v>226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195</v>
      </c>
      <c r="F2" s="119" t="s">
        <v>198</v>
      </c>
      <c r="G2" s="148" t="s">
        <v>199</v>
      </c>
      <c r="H2" s="147" t="s">
        <v>200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196</v>
      </c>
      <c r="F3" s="85" t="str">
        <f>H14</f>
        <v/>
      </c>
      <c r="G3" s="85">
        <f>C14</f>
        <v>6225396.1372549022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197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35684253</v>
      </c>
      <c r="D6" s="200">
        <f>IF(Inputs!D25="","",Inputs!D25)</f>
        <v>11473793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16868997</v>
      </c>
      <c r="D8" s="199">
        <f>IF(Inputs!D26="","",Inputs!D26)</f>
        <v>6522891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18815256</v>
      </c>
      <c r="D9" s="151">
        <f t="shared" si="2"/>
        <v>4950902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12529703</v>
      </c>
      <c r="D10" s="199">
        <f>IF(Inputs!D27="","",Inputs!D27)</f>
        <v>8392476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236</v>
      </c>
      <c r="C12" s="199">
        <f>IF(Inputs!C30="","",MAX(Inputs!C30,0)/(1-Fin_Analysis!$I$84))</f>
        <v>60156.862745098035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237</v>
      </c>
      <c r="C13" s="229">
        <f t="shared" ref="C13:M13" si="3">IF(C14="","",C14/C6)</f>
        <v>0.17445779619528262</v>
      </c>
      <c r="D13" s="229">
        <f t="shared" si="3"/>
        <v>-0.29995085321828624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229</v>
      </c>
      <c r="C14" s="230">
        <f>IF(C6="","",C9-C10-MAX(C11,0)-MAX(C12,0))</f>
        <v>6225396.1372549022</v>
      </c>
      <c r="D14" s="230">
        <f t="shared" ref="D14:M14" si="4">IF(D6="","",D9-D10-MAX(D11,0)-MAX(D12,0))</f>
        <v>-3441574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238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252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6225396.1372549022</v>
      </c>
      <c r="D22" s="161">
        <f t="shared" ref="D22:M22" si="8">IF(D6="","",D14-MAX(D16,0)-MAX(D17,0)-ABS(MAX(D21,0)-MAX(D19,0)))</f>
        <v>-3441574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0.13346021408939118</v>
      </c>
      <c r="D23" s="153">
        <f t="shared" si="9"/>
        <v>-0.22946240271198895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145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153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0.47272944175123971</v>
      </c>
      <c r="D42" s="156">
        <f t="shared" si="34"/>
        <v>0.56850345827225579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230</v>
      </c>
      <c r="C43" s="153">
        <f t="shared" ref="C43:M43" si="35">IF(C6="","",(C10+MAX(C11,0))/C6)</f>
        <v>0.35112695227219692</v>
      </c>
      <c r="D43" s="153">
        <f t="shared" si="35"/>
        <v>0.7314473949460305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1.6858097812807804E-3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232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0.17445779619528262</v>
      </c>
      <c r="D48" s="153">
        <f t="shared" si="40"/>
        <v>-0.29995085321828624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262</v>
      </c>
      <c r="C50" s="272" t="e">
        <f>IF(C6="","",C6/C39)</f>
        <v>#DIV/0!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143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144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257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 t="str">
        <f t="shared" ref="C57:M57" si="47">IF(C22="","",IF(MAX(C17,0)&lt;=0,"-",C17/C22))</f>
        <v>-</v>
      </c>
      <c r="D57" s="153" t="str">
        <f t="shared" si="47"/>
        <v>-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192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114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154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155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146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87">
        <f>Inputs!C84</f>
        <v>0</v>
      </c>
      <c r="E57" s="286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149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147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150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148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75">
        <f>Data!C5</f>
        <v>45291</v>
      </c>
      <c r="D72" s="275"/>
      <c r="E72" s="289" t="s">
        <v>202</v>
      </c>
      <c r="F72" s="289"/>
      <c r="H72" s="289" t="s">
        <v>201</v>
      </c>
      <c r="I72" s="289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6" t="s">
        <v>98</v>
      </c>
      <c r="D73" s="276"/>
      <c r="E73" s="290" t="s">
        <v>99</v>
      </c>
      <c r="F73" s="276"/>
      <c r="H73" s="290" t="s">
        <v>99</v>
      </c>
      <c r="I73" s="276"/>
      <c r="K73" s="24"/>
    </row>
    <row r="74" spans="1:11" ht="15" customHeight="1" x14ac:dyDescent="0.4">
      <c r="B74" s="3" t="s">
        <v>123</v>
      </c>
      <c r="C74" s="77">
        <f>Data!C6</f>
        <v>35684253</v>
      </c>
      <c r="D74" s="209"/>
      <c r="E74" s="238">
        <f>Inputs!E91</f>
        <v>35684253</v>
      </c>
      <c r="F74" s="209"/>
      <c r="H74" s="238">
        <f>Inputs!F91</f>
        <v>35684253</v>
      </c>
      <c r="I74" s="209"/>
      <c r="K74" s="24"/>
    </row>
    <row r="75" spans="1:11" ht="15" customHeight="1" x14ac:dyDescent="0.4">
      <c r="B75" s="104" t="s">
        <v>103</v>
      </c>
      <c r="C75" s="77">
        <f>Data!C8</f>
        <v>16868997</v>
      </c>
      <c r="D75" s="159">
        <f>C75/$C$74</f>
        <v>0.47272944175123971</v>
      </c>
      <c r="E75" s="238">
        <f>Inputs!E92</f>
        <v>16868997</v>
      </c>
      <c r="F75" s="160">
        <f>E75/E74</f>
        <v>0.47272944175123971</v>
      </c>
      <c r="H75" s="238">
        <f>Inputs!F92</f>
        <v>16868997</v>
      </c>
      <c r="I75" s="160">
        <f>H75/$H$74</f>
        <v>0.47272944175123971</v>
      </c>
      <c r="K75" s="24"/>
    </row>
    <row r="76" spans="1:11" ht="15" customHeight="1" x14ac:dyDescent="0.4">
      <c r="B76" s="35" t="s">
        <v>93</v>
      </c>
      <c r="C76" s="161">
        <f>C74-C75</f>
        <v>18815256</v>
      </c>
      <c r="D76" s="210"/>
      <c r="E76" s="162">
        <f>E74-E75</f>
        <v>18815256</v>
      </c>
      <c r="F76" s="210"/>
      <c r="H76" s="162">
        <f>H74-H75</f>
        <v>18815256</v>
      </c>
      <c r="I76" s="210"/>
      <c r="K76" s="24"/>
    </row>
    <row r="77" spans="1:11" ht="15" customHeight="1" x14ac:dyDescent="0.4">
      <c r="B77" s="104" t="s">
        <v>243</v>
      </c>
      <c r="C77" s="77">
        <f>Data!C10+MAX(Data!C11,0)</f>
        <v>12529703</v>
      </c>
      <c r="D77" s="159">
        <f>C77/$C$74</f>
        <v>0.35112695227219692</v>
      </c>
      <c r="E77" s="238">
        <f>Inputs!E93</f>
        <v>12529703</v>
      </c>
      <c r="F77" s="160">
        <f>E77/E74</f>
        <v>0.35112695227219692</v>
      </c>
      <c r="H77" s="238">
        <f>Inputs!F93</f>
        <v>12529703</v>
      </c>
      <c r="I77" s="160">
        <f>H77/$H$74</f>
        <v>0.35112695227219692</v>
      </c>
      <c r="K77" s="24"/>
    </row>
    <row r="78" spans="1:11" ht="15" customHeight="1" x14ac:dyDescent="0.4">
      <c r="B78" s="73" t="s">
        <v>168</v>
      </c>
      <c r="C78" s="77">
        <f>MAX(Data!C12,0)</f>
        <v>60156.862745098035</v>
      </c>
      <c r="D78" s="159">
        <f>C78/$C$74</f>
        <v>1.6858097812807804E-3</v>
      </c>
      <c r="E78" s="180">
        <f>E74*F78</f>
        <v>60156.862745098035</v>
      </c>
      <c r="F78" s="160">
        <f>I78</f>
        <v>1.6858097812807804E-3</v>
      </c>
      <c r="H78" s="238">
        <f>Inputs!F97</f>
        <v>60156.862745098035</v>
      </c>
      <c r="I78" s="160">
        <f>H78/$H$74</f>
        <v>1.6858097812807804E-3</v>
      </c>
      <c r="K78" s="24"/>
    </row>
    <row r="79" spans="1:11" ht="15" customHeight="1" x14ac:dyDescent="0.4">
      <c r="B79" s="256" t="s">
        <v>228</v>
      </c>
      <c r="C79" s="257">
        <f>C76-C77-C78</f>
        <v>6225396.1372549022</v>
      </c>
      <c r="D79" s="258">
        <f>C79/C74</f>
        <v>0.17445779619528262</v>
      </c>
      <c r="E79" s="259">
        <f>E76-E77-E78</f>
        <v>6225396.1372549022</v>
      </c>
      <c r="F79" s="258">
        <f>E79/E74</f>
        <v>0.17445779619528262</v>
      </c>
      <c r="G79" s="260"/>
      <c r="H79" s="259">
        <f>H76-H77-H78</f>
        <v>6225396.1372549022</v>
      </c>
      <c r="I79" s="258">
        <f>H79/H74</f>
        <v>0.17445779619528262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252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242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122</v>
      </c>
      <c r="C83" s="163">
        <f>C79-C81-C82-C80</f>
        <v>6225396.1372549022</v>
      </c>
      <c r="D83" s="164">
        <f>C83/$C$74</f>
        <v>0.17445779619528262</v>
      </c>
      <c r="E83" s="165">
        <f>E79-E81-E82-E80</f>
        <v>6225396.1372549022</v>
      </c>
      <c r="F83" s="164">
        <f>E83/E74</f>
        <v>0.17445779619528262</v>
      </c>
      <c r="H83" s="165">
        <f>H79-H81-H82-H80</f>
        <v>6225396.1372549022</v>
      </c>
      <c r="I83" s="164">
        <f>H83/$H$74</f>
        <v>0.17445779619528262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160</v>
      </c>
      <c r="C85" s="257">
        <f>C83*(1-I84)</f>
        <v>4762428.0449999999</v>
      </c>
      <c r="D85" s="258">
        <f>C85/$C$74</f>
        <v>0.13346021408939118</v>
      </c>
      <c r="E85" s="264">
        <f>E83*(1-F84)</f>
        <v>4762428.0449999999</v>
      </c>
      <c r="F85" s="258">
        <f>E85/E74</f>
        <v>0.13346021408939118</v>
      </c>
      <c r="G85" s="260"/>
      <c r="H85" s="264">
        <f>H83*(1-I84)</f>
        <v>4762428.0449999999</v>
      </c>
      <c r="I85" s="258">
        <f>H85/$H$74</f>
        <v>0.13346021408939118</v>
      </c>
      <c r="K85" s="24"/>
    </row>
    <row r="86" spans="1:11" ht="15" customHeight="1" x14ac:dyDescent="0.4">
      <c r="B86" s="87" t="s">
        <v>156</v>
      </c>
      <c r="C86" s="167">
        <f>C85*Data!C4/Common_Shares</f>
        <v>1.0889066769172429</v>
      </c>
      <c r="D86" s="209"/>
      <c r="E86" s="168">
        <f>E85*Data!C4/Common_Shares</f>
        <v>1.0889066769172429</v>
      </c>
      <c r="F86" s="209"/>
      <c r="H86" s="168">
        <f>H85*Data!C4/Common_Shares</f>
        <v>1.0889066769172429</v>
      </c>
      <c r="I86" s="209"/>
      <c r="K86" s="24"/>
    </row>
    <row r="87" spans="1:11" ht="15" customHeight="1" x14ac:dyDescent="0.4">
      <c r="B87" s="87" t="s">
        <v>204</v>
      </c>
      <c r="C87" s="261">
        <f>C86*Exchange_Rate/Dashboard!G3</f>
        <v>3.1562512374412835E-2</v>
      </c>
      <c r="D87" s="209"/>
      <c r="E87" s="262">
        <f>E86*Exchange_Rate/Dashboard!G3</f>
        <v>3.1562512374412835E-2</v>
      </c>
      <c r="F87" s="209"/>
      <c r="H87" s="262">
        <f>H86*Exchange_Rate/Dashboard!G3</f>
        <v>3.1562512374412835E-2</v>
      </c>
      <c r="I87" s="209"/>
      <c r="K87" s="24"/>
    </row>
    <row r="88" spans="1:11" ht="15" customHeight="1" x14ac:dyDescent="0.4">
      <c r="B88" s="86" t="s">
        <v>203</v>
      </c>
      <c r="C88" s="169">
        <f>Inputs!C44</f>
        <v>0.8</v>
      </c>
      <c r="D88" s="166">
        <f>C88/C86</f>
        <v>0.73468187582874034</v>
      </c>
      <c r="E88" s="170">
        <f>Inputs!E98</f>
        <v>0.5</v>
      </c>
      <c r="F88" s="166">
        <f>E88/E86</f>
        <v>0.45917617239296266</v>
      </c>
      <c r="H88" s="170">
        <f>Inputs!F98</f>
        <v>0.5</v>
      </c>
      <c r="I88" s="166">
        <f>H88/H86</f>
        <v>0.45917617239296266</v>
      </c>
      <c r="K88" s="24"/>
    </row>
    <row r="89" spans="1:11" ht="15" customHeight="1" x14ac:dyDescent="0.4">
      <c r="B89" s="87" t="s">
        <v>217</v>
      </c>
      <c r="C89" s="261">
        <f>C88*Exchange_Rate/Dashboard!G3</f>
        <v>2.318840579710145E-2</v>
      </c>
      <c r="D89" s="209"/>
      <c r="E89" s="261">
        <f>E88*Exchange_Rate/Dashboard!G3</f>
        <v>1.4492753623188406E-2</v>
      </c>
      <c r="F89" s="209"/>
      <c r="H89" s="261">
        <f>H88*Exchange_Rate/Dashboard!G3</f>
        <v>1.4492753623188406E-2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151</v>
      </c>
      <c r="C92" s="198" t="str">
        <f>Inputs!C15</f>
        <v>HK</v>
      </c>
      <c r="D92" s="10" t="s">
        <v>152</v>
      </c>
      <c r="E92" s="289" t="s">
        <v>202</v>
      </c>
      <c r="F92" s="289"/>
      <c r="G92" s="87"/>
      <c r="H92" s="289" t="s">
        <v>201</v>
      </c>
      <c r="I92" s="289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205</v>
      </c>
      <c r="F93" s="144">
        <f>FV(E87,D93,0,-(E86/(C93-D94)))*Exchange_Rate</f>
        <v>20.980540162512234</v>
      </c>
      <c r="H93" s="87" t="s">
        <v>205</v>
      </c>
      <c r="I93" s="144">
        <f>FV(H87,D93,0,-(H86/(C93-D94)))*Exchange_Rate</f>
        <v>20.980540162512234</v>
      </c>
      <c r="K93" s="24"/>
    </row>
    <row r="94" spans="1:11" ht="15" customHeight="1" x14ac:dyDescent="0.4">
      <c r="B94" s="1" t="s">
        <v>207</v>
      </c>
      <c r="C94" s="182">
        <f>Dashboard!G20</f>
        <v>0.15</v>
      </c>
      <c r="D94" s="270">
        <f>Inputs!D87</f>
        <v>0.02</v>
      </c>
      <c r="E94" s="87" t="s">
        <v>206</v>
      </c>
      <c r="F94" s="144">
        <f>FV(E89,D93,0,-(E88/(C93-D94)))*Exchange_Rate</f>
        <v>8.862637764793984</v>
      </c>
      <c r="H94" s="87" t="s">
        <v>206</v>
      </c>
      <c r="I94" s="144">
        <f>FV(H89,D93,0,-(H88/(C93-D94)))*Exchange_Rate</f>
        <v>8.862637764793984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209</v>
      </c>
      <c r="E96" s="183" t="str">
        <f>E72</f>
        <v>Pessimistic Case</v>
      </c>
      <c r="F96" s="227" t="s">
        <v>233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45621045.0738158</v>
      </c>
      <c r="D97" s="213"/>
      <c r="E97" s="123">
        <f>PV(C94,D93,0,-F93)</f>
        <v>10.431036462792484</v>
      </c>
      <c r="F97" s="213"/>
      <c r="H97" s="123">
        <f>PV(C94,D93,0,-I93)</f>
        <v>10.431036462792484</v>
      </c>
      <c r="I97" s="123">
        <f>PV(C93,D93,0,-I93)</f>
        <v>14.237758172796703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45621045.0738158</v>
      </c>
      <c r="D100" s="109">
        <f>MIN(F100*(1-C94),E100)</f>
        <v>8.8663809933736104</v>
      </c>
      <c r="E100" s="109">
        <f>MAX(E97+H98+E99,0)</f>
        <v>10.431036462792484</v>
      </c>
      <c r="F100" s="109">
        <f>(E100+H100)/2</f>
        <v>10.431036462792484</v>
      </c>
      <c r="H100" s="109">
        <f>MAX(C100*Data!$C$4/Common_Shares,0)</f>
        <v>10.431036462792484</v>
      </c>
      <c r="I100" s="109">
        <f>MAX(I97+H98+H99,0)</f>
        <v>14.237758172796703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158</v>
      </c>
      <c r="C102" s="127" t="str">
        <f>C96</f>
        <v>HKD</v>
      </c>
      <c r="D102" s="124" t="s">
        <v>209</v>
      </c>
      <c r="E102" s="183" t="str">
        <f>E96</f>
        <v>Pessimistic Case</v>
      </c>
      <c r="F102" s="227" t="s">
        <v>233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157</v>
      </c>
      <c r="C103" s="91">
        <f>H103*Common_Shares/Data!C4</f>
        <v>19271324.465849902</v>
      </c>
      <c r="D103" s="109">
        <f>MIN(F103*(1-C94),E103)</f>
        <v>3.7453527135268652</v>
      </c>
      <c r="E103" s="123">
        <f>PV(C94,D93,0,-F94)</f>
        <v>4.4062973100316061</v>
      </c>
      <c r="F103" s="109">
        <f>(E103+H103)/2</f>
        <v>4.4062973100316061</v>
      </c>
      <c r="H103" s="123">
        <f>PV(C94,D93,0,-I94)</f>
        <v>4.4062973100316061</v>
      </c>
      <c r="I103" s="109">
        <f>PV(C93,D93,0,-I94)</f>
        <v>6.0143395875810866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193</v>
      </c>
      <c r="C105" s="127" t="str">
        <f>C102</f>
        <v>HKD</v>
      </c>
      <c r="D105" s="124" t="s">
        <v>209</v>
      </c>
      <c r="E105" s="184" t="str">
        <f>E96</f>
        <v>Pessimistic Case</v>
      </c>
      <c r="F105" s="227" t="s">
        <v>233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194</v>
      </c>
      <c r="C106" s="91">
        <f>E106*Common_Shares/Data!C4</f>
        <v>32446184.769832857</v>
      </c>
      <c r="D106" s="109">
        <f>(D100+D103)/2</f>
        <v>6.3058668534502376</v>
      </c>
      <c r="E106" s="123">
        <f>(E100+E103)/2</f>
        <v>7.4186668864120451</v>
      </c>
      <c r="F106" s="109">
        <f>(F100+F103)/2</f>
        <v>7.4186668864120451</v>
      </c>
      <c r="H106" s="123">
        <f>(H100+H103)/2</f>
        <v>7.4186668864120451</v>
      </c>
      <c r="I106" s="123">
        <f>(I100+I103)/2</f>
        <v>10.126048880188895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161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