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986D936-4C48-4882-A08B-0C77310ED72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F95" i="4" l="1"/>
  <c r="F96" i="4"/>
  <c r="E92" i="4"/>
  <c r="F97" i="4"/>
  <c r="F94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I27" i="2"/>
  <c r="I55" i="2"/>
  <c r="M27" i="2"/>
  <c r="M55" i="2"/>
  <c r="K53" i="2"/>
  <c r="L50" i="2"/>
  <c r="G53" i="2"/>
  <c r="J53" i="2"/>
  <c r="K50" i="2"/>
  <c r="E53" i="2"/>
  <c r="F53" i="2"/>
  <c r="D53" i="2"/>
  <c r="E50" i="2"/>
  <c r="I53" i="2"/>
  <c r="J50" i="2"/>
  <c r="C53" i="2"/>
  <c r="D50" i="2"/>
  <c r="H53" i="2"/>
  <c r="I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0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G50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L15" i="2" l="1"/>
  <c r="M60" i="2"/>
  <c r="E22" i="2"/>
  <c r="E61" i="2" s="1"/>
  <c r="E60" i="2"/>
  <c r="F22" i="2"/>
  <c r="F61" i="2" s="1"/>
  <c r="F60" i="2"/>
  <c r="K15" i="2"/>
  <c r="L60" i="2"/>
  <c r="D22" i="2"/>
  <c r="D61" i="2" s="1"/>
  <c r="D60" i="2"/>
  <c r="G22" i="2"/>
  <c r="G61" i="2" s="1"/>
  <c r="G60" i="2"/>
  <c r="J15" i="2"/>
  <c r="K60" i="2"/>
  <c r="K59" i="2" s="1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L13" i="2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L59" i="2" l="1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E99" i="3"/>
  <c r="G23" i="1"/>
  <c r="E53" i="3" s="1"/>
  <c r="C27" i="2"/>
  <c r="C37" i="2"/>
  <c r="C55" i="2" s="1"/>
  <c r="C60" i="2" l="1"/>
  <c r="C61" i="2"/>
  <c r="C59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<sst xmlns="http://schemas.openxmlformats.org/spreadsheetml/2006/main" count="393" uniqueCount="275">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</sst>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267</v>
      </c>
    </row>
    <row r="5" spans="1:5" ht="13.9" x14ac:dyDescent="0.4">
      <c r="B5" s="141" t="s">
        <v>191</v>
      </c>
      <c r="C5" s="191" t="s">
        <v>268</v>
      </c>
    </row>
    <row r="6" spans="1:5" ht="13.9" x14ac:dyDescent="0.4">
      <c r="B6" s="141" t="s">
        <v>159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269</v>
      </c>
      <c r="E8" s="267"/>
    </row>
    <row r="9" spans="1:5" ht="13.9" x14ac:dyDescent="0.4">
      <c r="B9" s="140" t="s">
        <v>212</v>
      </c>
      <c r="C9" s="192" t="s">
        <v>239</v>
      </c>
    </row>
    <row r="10" spans="1:5" ht="13.9" x14ac:dyDescent="0.4">
      <c r="B10" s="140" t="s">
        <v>213</v>
      </c>
      <c r="C10" s="193">
        <v>677426000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215</v>
      </c>
      <c r="C14" s="219">
        <v>45473</v>
      </c>
    </row>
    <row r="15" spans="1:5" ht="13.9" x14ac:dyDescent="0.4">
      <c r="B15" s="218" t="s">
        <v>251</v>
      </c>
      <c r="C15" s="176" t="s">
        <v>185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220</v>
      </c>
      <c r="C17" s="242" t="s">
        <v>270</v>
      </c>
      <c r="D17" s="24"/>
    </row>
    <row r="18" spans="2:13" ht="13.9" x14ac:dyDescent="0.4">
      <c r="B18" s="240" t="s">
        <v>234</v>
      </c>
      <c r="C18" s="242" t="s">
        <v>242</v>
      </c>
      <c r="D18" s="24"/>
    </row>
    <row r="19" spans="2:13" ht="13.9" x14ac:dyDescent="0.4">
      <c r="B19" s="240" t="s">
        <v>235</v>
      </c>
      <c r="C19" s="242" t="s">
        <v>271</v>
      </c>
      <c r="D19" s="24"/>
    </row>
    <row r="20" spans="2:13" ht="13.9" x14ac:dyDescent="0.4">
      <c r="B20" s="241" t="s">
        <v>224</v>
      </c>
      <c r="C20" s="242" t="s">
        <v>271</v>
      </c>
      <c r="D20" s="24"/>
    </row>
    <row r="21" spans="2:13" ht="13.9" x14ac:dyDescent="0.4">
      <c r="B21" s="224" t="s">
        <v>227</v>
      </c>
      <c r="C21" s="242" t="s">
        <v>270</v>
      </c>
      <c r="D21" s="24"/>
    </row>
    <row r="22" spans="2:13" ht="78.75" x14ac:dyDescent="0.4">
      <c r="B22" s="226" t="s">
        <v>226</v>
      </c>
      <c r="C22" s="243" t="s">
        <v>272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25013339</v>
      </c>
      <c r="D25" s="149">
        <v>19751940</v>
      </c>
      <c r="E25" s="149">
        <v>21987559</v>
      </c>
      <c r="F25" s="149">
        <v>14997541</v>
      </c>
      <c r="G25" s="149">
        <v>17736226</v>
      </c>
      <c r="H25" s="149">
        <v>18806342</v>
      </c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18409837</v>
      </c>
      <c r="D26" s="150">
        <v>15140010</v>
      </c>
      <c r="E26" s="150">
        <v>16431474</v>
      </c>
      <c r="F26" s="150">
        <v>10877614</v>
      </c>
      <c r="G26" s="150">
        <v>12958750</v>
      </c>
      <c r="H26" s="150">
        <v>14175208</v>
      </c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5225366</v>
      </c>
      <c r="D27" s="150">
        <v>4709830</v>
      </c>
      <c r="E27" s="150">
        <v>4571128</v>
      </c>
      <c r="F27" s="150">
        <v>3136777</v>
      </c>
      <c r="G27" s="150">
        <v>3470831</v>
      </c>
      <c r="H27" s="150">
        <v>3388718</v>
      </c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252</v>
      </c>
      <c r="C29" s="150">
        <v>129899</v>
      </c>
      <c r="D29" s="150">
        <v>81860</v>
      </c>
      <c r="E29" s="150">
        <v>60486</v>
      </c>
      <c r="F29" s="150">
        <v>76137</v>
      </c>
      <c r="G29" s="150">
        <v>89162</v>
      </c>
      <c r="H29" s="150">
        <v>36991</v>
      </c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-13497</v>
      </c>
      <c r="D30" s="150">
        <v>-10604</v>
      </c>
      <c r="E30" s="150">
        <v>-3488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145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f>0.15+0.4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248</v>
      </c>
      <c r="C45" s="152">
        <f>IF(C44="","",C44*Exchange_Rate/Dashboard!$G$3)</f>
        <v>8.3586626139817641E-2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246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154</v>
      </c>
      <c r="C53" s="59"/>
      <c r="D53" s="60">
        <f>D50</f>
        <v>0.6</v>
      </c>
      <c r="E53" s="112"/>
    </row>
    <row r="54" spans="2:5" ht="13.9" x14ac:dyDescent="0.4">
      <c r="B54" s="3" t="s">
        <v>256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155</v>
      </c>
      <c r="C63" s="59"/>
      <c r="D63" s="60">
        <f>D62</f>
        <v>0.5</v>
      </c>
      <c r="E63" s="112"/>
    </row>
    <row r="64" spans="2:5" ht="13.9" x14ac:dyDescent="0.4">
      <c r="B64" s="3" t="s">
        <v>255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216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247</v>
      </c>
      <c r="C86" s="197">
        <v>5</v>
      </c>
    </row>
    <row r="87" spans="2:8" ht="13.9" x14ac:dyDescent="0.4">
      <c r="B87" s="10" t="s">
        <v>245</v>
      </c>
      <c r="C87" s="236" t="s">
        <v>273</v>
      </c>
      <c r="D87" s="269">
        <v>0.02</v>
      </c>
    </row>
    <row r="89" spans="2:8" ht="13.5" x14ac:dyDescent="0.35">
      <c r="B89" s="106" t="s">
        <v>124</v>
      </c>
      <c r="C89" s="275">
        <f>C24</f>
        <v>45291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25013339</v>
      </c>
      <c r="D91" s="209"/>
      <c r="E91" s="251">
        <f>C91*0.7</f>
        <v>17509337.300000001</v>
      </c>
      <c r="F91" s="251">
        <f>C91*0.8</f>
        <v>20010671.199999999</v>
      </c>
    </row>
    <row r="92" spans="2:8" ht="13.9" x14ac:dyDescent="0.4">
      <c r="B92" s="104" t="s">
        <v>103</v>
      </c>
      <c r="C92" s="77">
        <f>C26</f>
        <v>18409837</v>
      </c>
      <c r="D92" s="159">
        <f>C92/C91</f>
        <v>0.73600077942413045</v>
      </c>
      <c r="E92" s="252">
        <f>E91*D92</f>
        <v>12886885.9</v>
      </c>
      <c r="F92" s="252">
        <f>F91*D92</f>
        <v>14727869.6</v>
      </c>
    </row>
    <row r="93" spans="2:8" ht="13.9" x14ac:dyDescent="0.4">
      <c r="B93" s="104" t="s">
        <v>244</v>
      </c>
      <c r="C93" s="77">
        <f>C27+C28</f>
        <v>5225366</v>
      </c>
      <c r="D93" s="159">
        <f>C93/C91</f>
        <v>0.20890317762054877</v>
      </c>
      <c r="E93" s="252">
        <f>E91*D93</f>
        <v>3657756.2</v>
      </c>
      <c r="F93" s="252">
        <f>F91*D93</f>
        <v>4180292.8</v>
      </c>
    </row>
    <row r="94" spans="2:8" ht="13.9" x14ac:dyDescent="0.4">
      <c r="B94" s="104" t="s">
        <v>252</v>
      </c>
      <c r="C94" s="77">
        <f>C29</f>
        <v>129899</v>
      </c>
      <c r="D94" s="159">
        <f>C94/C91</f>
        <v>5.1931891220120593E-3</v>
      </c>
      <c r="E94" s="253"/>
      <c r="F94" s="252">
        <f>F91*D94</f>
        <v>103919.2</v>
      </c>
    </row>
    <row r="95" spans="2:8" ht="13.9" x14ac:dyDescent="0.4">
      <c r="B95" s="28" t="s">
        <v>243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168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203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0116.HK</v>
      </c>
      <c r="D3" s="282"/>
      <c r="E3" s="87"/>
      <c r="F3" s="3" t="s">
        <v>1</v>
      </c>
      <c r="G3" s="132">
        <v>6.58</v>
      </c>
      <c r="H3" s="134" t="s">
        <v>274</v>
      </c>
    </row>
    <row r="4" spans="1:10" ht="15.75" customHeight="1" x14ac:dyDescent="0.4">
      <c r="B4" s="35" t="s">
        <v>191</v>
      </c>
      <c r="C4" s="283" t="str">
        <f>Inputs!C5</f>
        <v>周生生</v>
      </c>
      <c r="D4" s="284"/>
      <c r="E4" s="87"/>
      <c r="F4" s="3" t="s">
        <v>3</v>
      </c>
      <c r="G4" s="287">
        <f>Inputs!C10</f>
        <v>677426000</v>
      </c>
      <c r="H4" s="287"/>
      <c r="I4" s="39"/>
    </row>
    <row r="5" spans="1:10" ht="15.75" customHeight="1" x14ac:dyDescent="0.4">
      <c r="B5" s="3" t="s">
        <v>159</v>
      </c>
      <c r="C5" s="285">
        <f>Inputs!C6</f>
        <v>45593</v>
      </c>
      <c r="D5" s="286"/>
      <c r="E5" s="34"/>
      <c r="F5" s="35" t="s">
        <v>97</v>
      </c>
      <c r="G5" s="279">
        <f>G3*G4/1000000</f>
        <v>4457.4630800000004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249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HK</v>
      </c>
      <c r="F16" s="110" t="s">
        <v>174</v>
      </c>
    </row>
    <row r="17" spans="1:8" ht="15.75" customHeight="1" thickTop="1" x14ac:dyDescent="0.4">
      <c r="B17" s="87" t="s">
        <v>250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0.73600077942413045</v>
      </c>
      <c r="F20" s="87" t="s">
        <v>207</v>
      </c>
      <c r="G20" s="172">
        <v>0.15</v>
      </c>
    </row>
    <row r="21" spans="1:8" ht="15.75" customHeight="1" x14ac:dyDescent="0.4">
      <c r="B21" s="137" t="s">
        <v>241</v>
      </c>
      <c r="C21" s="171">
        <f>Fin_Analysis!I77</f>
        <v>0.20890317762054877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0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0</v>
      </c>
      <c r="F23" s="140" t="s">
        <v>184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166</v>
      </c>
      <c r="C24" s="171">
        <f>Fin_Analysis!I81</f>
        <v>5.1931891220120593E-3</v>
      </c>
      <c r="F24" s="140" t="s">
        <v>254</v>
      </c>
      <c r="G24" s="268">
        <f>G3/(Fin_Analysis!H86*G7)</f>
        <v>5.9516783538168898</v>
      </c>
    </row>
    <row r="25" spans="1:8" ht="15.75" customHeight="1" x14ac:dyDescent="0.4">
      <c r="B25" s="137" t="s">
        <v>240</v>
      </c>
      <c r="C25" s="171">
        <f>Fin_Analysis!I82</f>
        <v>0</v>
      </c>
      <c r="F25" s="140" t="s">
        <v>170</v>
      </c>
      <c r="G25" s="171">
        <f>Fin_Analysis!I88</f>
        <v>0.49748071346493766</v>
      </c>
    </row>
    <row r="26" spans="1:8" ht="15.75" customHeight="1" x14ac:dyDescent="0.4">
      <c r="B26" s="138" t="s">
        <v>169</v>
      </c>
      <c r="C26" s="171">
        <f>Fin_Analysis!I83</f>
        <v>4.9902853833308697E-2</v>
      </c>
      <c r="F26" s="141" t="s">
        <v>189</v>
      </c>
      <c r="G26" s="178">
        <f>Fin_Analysis!H88*Exchange_Rate/G3</f>
        <v>8.3586626139817641E-2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253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4.9833225916140247</v>
      </c>
      <c r="D29" s="129">
        <f>G29*(1+G20)</f>
        <v>10.576741894373171</v>
      </c>
      <c r="E29" s="87"/>
      <c r="F29" s="131">
        <f>IF(Fin_Analysis!C108="Profit",Fin_Analysis!F100,IF(Fin_Analysis!C108="Dividend",Fin_Analysis!F103,Fin_Analysis!F106))</f>
        <v>5.8627324607223823</v>
      </c>
      <c r="G29" s="278">
        <f>IF(Fin_Analysis!C108="Profit",Fin_Analysis!I100,IF(Fin_Analysis!C108="Dividend",Fin_Analysis!I103,Fin_Analysis!I106))</f>
        <v>9.1971668646723241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Strongly agree</v>
      </c>
    </row>
    <row r="34" spans="1:3" ht="15.75" customHeight="1" x14ac:dyDescent="0.4">
      <c r="A34"/>
      <c r="B34" s="19" t="s">
        <v>221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unclear</v>
      </c>
    </row>
    <row r="37" spans="1:3" ht="15.75" customHeight="1" x14ac:dyDescent="0.4">
      <c r="A37"/>
      <c r="B37" s="20" t="s">
        <v>235</v>
      </c>
      <c r="C37" s="245" t="str">
        <f>Inputs!C19</f>
        <v>agree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agree</v>
      </c>
    </row>
    <row r="40" spans="1:3" ht="15.75" customHeight="1" x14ac:dyDescent="0.4">
      <c r="A40"/>
      <c r="B40" s="1" t="s">
        <v>227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196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197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25013339</v>
      </c>
      <c r="D6" s="200">
        <f>IF(Inputs!D25="","",Inputs!D25)</f>
        <v>19751940</v>
      </c>
      <c r="E6" s="200">
        <f>IF(Inputs!E25="","",Inputs!E25)</f>
        <v>21987559</v>
      </c>
      <c r="F6" s="200">
        <f>IF(Inputs!F25="","",Inputs!F25)</f>
        <v>14997541</v>
      </c>
      <c r="G6" s="200">
        <f>IF(Inputs!G25="","",Inputs!G25)</f>
        <v>17736226</v>
      </c>
      <c r="H6" s="200">
        <f>IF(Inputs!H25="","",Inputs!H25)</f>
        <v>18806342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18409837</v>
      </c>
      <c r="D8" s="199">
        <f>IF(Inputs!D26="","",Inputs!D26)</f>
        <v>15140010</v>
      </c>
      <c r="E8" s="199">
        <f>IF(Inputs!E26="","",Inputs!E26)</f>
        <v>16431474</v>
      </c>
      <c r="F8" s="199">
        <f>IF(Inputs!F26="","",Inputs!F26)</f>
        <v>10877614</v>
      </c>
      <c r="G8" s="199">
        <f>IF(Inputs!G26="","",Inputs!G26)</f>
        <v>12958750</v>
      </c>
      <c r="H8" s="199">
        <f>IF(Inputs!H26="","",Inputs!H26)</f>
        <v>14175208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6603502</v>
      </c>
      <c r="D9" s="151">
        <f t="shared" si="2"/>
        <v>4611930</v>
      </c>
      <c r="E9" s="151">
        <f t="shared" si="2"/>
        <v>5556085</v>
      </c>
      <c r="F9" s="151">
        <f t="shared" si="2"/>
        <v>4119927</v>
      </c>
      <c r="G9" s="151">
        <f t="shared" si="2"/>
        <v>4777476</v>
      </c>
      <c r="H9" s="151">
        <f t="shared" si="2"/>
        <v>4631134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5225366</v>
      </c>
      <c r="D10" s="199">
        <f>IF(Inputs!D27="","",Inputs!D27)</f>
        <v>4709830</v>
      </c>
      <c r="E10" s="199">
        <f>IF(Inputs!E27="","",Inputs!E27)</f>
        <v>4571128</v>
      </c>
      <c r="F10" s="199">
        <f>IF(Inputs!F27="","",Inputs!F27)</f>
        <v>3136777</v>
      </c>
      <c r="G10" s="199">
        <f>IF(Inputs!G27="","",Inputs!G27)</f>
        <v>3470831</v>
      </c>
      <c r="H10" s="199">
        <f>IF(Inputs!H27="","",Inputs!H27)</f>
        <v>3388718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5.5096042955320758E-2</v>
      </c>
      <c r="D13" s="229">
        <f t="shared" si="3"/>
        <v>-4.9564751614271816E-3</v>
      </c>
      <c r="E13" s="229">
        <f t="shared" si="3"/>
        <v>4.4796104924607595E-2</v>
      </c>
      <c r="F13" s="229">
        <f t="shared" si="3"/>
        <v>6.5554079832153819E-2</v>
      </c>
      <c r="G13" s="229">
        <f t="shared" si="3"/>
        <v>7.3670971490778253E-2</v>
      </c>
      <c r="H13" s="229">
        <f t="shared" si="3"/>
        <v>6.6063671499752577E-2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1378136</v>
      </c>
      <c r="D14" s="230">
        <f t="shared" ref="D14:M14" si="4">IF(D6="","",D9-D10-MAX(D11,0)-MAX(D12,0))</f>
        <v>-97900</v>
      </c>
      <c r="E14" s="230">
        <f t="shared" si="4"/>
        <v>984957</v>
      </c>
      <c r="F14" s="230">
        <f t="shared" si="4"/>
        <v>983150</v>
      </c>
      <c r="G14" s="230">
        <f t="shared" si="4"/>
        <v>1306645</v>
      </c>
      <c r="H14" s="230">
        <f t="shared" si="4"/>
        <v>1242416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>
        <f t="shared" si="5"/>
        <v>1.8379697909779789E-3</v>
      </c>
      <c r="F15" s="232">
        <f t="shared" si="5"/>
        <v>-0.24757680930933804</v>
      </c>
      <c r="G15" s="232">
        <f t="shared" si="5"/>
        <v>5.1696855159624473E-2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252</v>
      </c>
      <c r="C17" s="199">
        <f>IF(Inputs!C29="","",Inputs!C29)</f>
        <v>129899</v>
      </c>
      <c r="D17" s="199">
        <f>IF(Inputs!D29="","",Inputs!D29)</f>
        <v>81860</v>
      </c>
      <c r="E17" s="199">
        <f>IF(Inputs!E29="","",Inputs!E29)</f>
        <v>60486</v>
      </c>
      <c r="F17" s="199">
        <f>IF(Inputs!F29="","",Inputs!F29)</f>
        <v>76137</v>
      </c>
      <c r="G17" s="199">
        <f>IF(Inputs!G29="","",Inputs!G29)</f>
        <v>89162</v>
      </c>
      <c r="H17" s="199">
        <f>IF(Inputs!H29="","",Inputs!H29)</f>
        <v>36991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1248237</v>
      </c>
      <c r="D22" s="161">
        <f t="shared" ref="D22:M22" si="8">IF(D6="","",D14-MAX(D16,0)-MAX(D17,0)-ABS(MAX(D21,0)-MAX(D19,0)))</f>
        <v>-179760</v>
      </c>
      <c r="E22" s="161">
        <f t="shared" si="8"/>
        <v>924471</v>
      </c>
      <c r="F22" s="161">
        <f t="shared" si="8"/>
        <v>907013</v>
      </c>
      <c r="G22" s="161">
        <f t="shared" si="8"/>
        <v>1217483</v>
      </c>
      <c r="H22" s="161">
        <f t="shared" si="8"/>
        <v>1205425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3.7427140374981523E-2</v>
      </c>
      <c r="D23" s="153">
        <f t="shared" si="9"/>
        <v>-6.8256586441635602E-3</v>
      </c>
      <c r="E23" s="153">
        <f t="shared" si="9"/>
        <v>3.1533889232542821E-2</v>
      </c>
      <c r="F23" s="153">
        <f t="shared" si="9"/>
        <v>4.5358085702182777E-2</v>
      </c>
      <c r="G23" s="153">
        <f t="shared" si="9"/>
        <v>5.1482894388016932E-2</v>
      </c>
      <c r="H23" s="153">
        <f t="shared" si="9"/>
        <v>4.8072546484584824E-2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1.9247794684309927E-2</v>
      </c>
      <c r="F25" s="233">
        <f t="shared" si="10"/>
        <v>-0.25500972087495266</v>
      </c>
      <c r="G25" s="233">
        <f t="shared" si="10"/>
        <v>1.0003110935976937E-2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0.73600077942413045</v>
      </c>
      <c r="D42" s="156">
        <f t="shared" si="34"/>
        <v>0.76650749242859184</v>
      </c>
      <c r="E42" s="156">
        <f t="shared" si="34"/>
        <v>0.74730778437024314</v>
      </c>
      <c r="F42" s="156">
        <f t="shared" si="34"/>
        <v>0.72529316639307739</v>
      </c>
      <c r="G42" s="156">
        <f t="shared" si="34"/>
        <v>0.73063739715540388</v>
      </c>
      <c r="H42" s="156">
        <f t="shared" si="34"/>
        <v>0.75374615648274401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0.20890317762054877</v>
      </c>
      <c r="D43" s="153">
        <f t="shared" si="35"/>
        <v>0.23844898273283535</v>
      </c>
      <c r="E43" s="153">
        <f t="shared" si="35"/>
        <v>0.20789611070514921</v>
      </c>
      <c r="F43" s="153">
        <f t="shared" si="35"/>
        <v>0.2091527537747688</v>
      </c>
      <c r="G43" s="153">
        <f t="shared" si="35"/>
        <v>0.1956916313538179</v>
      </c>
      <c r="H43" s="153">
        <f t="shared" si="35"/>
        <v>0.18019017201750345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5.1931891220120593E-3</v>
      </c>
      <c r="D45" s="153">
        <f t="shared" si="37"/>
        <v>4.1444030307908998E-3</v>
      </c>
      <c r="E45" s="153">
        <f t="shared" si="37"/>
        <v>2.7509192812171647E-3</v>
      </c>
      <c r="F45" s="153">
        <f t="shared" si="37"/>
        <v>5.0766322292434473E-3</v>
      </c>
      <c r="G45" s="153">
        <f t="shared" si="37"/>
        <v>5.0271123067556758E-3</v>
      </c>
      <c r="H45" s="153">
        <f t="shared" si="37"/>
        <v>1.9669428536394796E-3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4.9902853833308697E-2</v>
      </c>
      <c r="D48" s="153">
        <f t="shared" si="40"/>
        <v>-9.1008781922180815E-3</v>
      </c>
      <c r="E48" s="153">
        <f t="shared" si="40"/>
        <v>4.204518564339043E-2</v>
      </c>
      <c r="F48" s="153">
        <f t="shared" si="40"/>
        <v>6.0477447602910371E-2</v>
      </c>
      <c r="G48" s="153">
        <f t="shared" si="40"/>
        <v>6.8643859184022576E-2</v>
      </c>
      <c r="H48" s="153">
        <f t="shared" si="40"/>
        <v>6.4096728646113099E-2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 t="e">
        <f>IF(C6="","",C6/C39)</f>
        <v>#DIV/0!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e">
        <f t="shared" si="44"/>
        <v>#VALUE!</v>
      </c>
      <c r="G53" s="153" t="e">
        <f t="shared" si="44"/>
        <v>#VALUE!</v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0.10406597465064728</v>
      </c>
      <c r="D57" s="153">
        <f t="shared" si="47"/>
        <v>-0.4553849577214063</v>
      </c>
      <c r="E57" s="153">
        <f t="shared" si="47"/>
        <v>6.5427687834448023E-2</v>
      </c>
      <c r="F57" s="153">
        <f t="shared" si="47"/>
        <v>8.3942567526595541E-2</v>
      </c>
      <c r="G57" s="153">
        <f t="shared" si="47"/>
        <v>7.3234698143629109E-2</v>
      </c>
      <c r="H57" s="153">
        <f t="shared" si="47"/>
        <v>3.0687102059439617E-2</v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e">
        <f t="shared" si="50"/>
        <v>#VALUE!</v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e">
        <f t="shared" si="51"/>
        <v>#VALUE!</v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154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45291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25013339</v>
      </c>
      <c r="D74" s="209"/>
      <c r="E74" s="238">
        <f>Inputs!E91</f>
        <v>17509337.300000001</v>
      </c>
      <c r="F74" s="209"/>
      <c r="H74" s="238">
        <f>Inputs!F91</f>
        <v>20010671.199999999</v>
      </c>
      <c r="I74" s="209"/>
      <c r="K74" s="24"/>
    </row>
    <row r="75" spans="1:11" ht="15" customHeight="1" x14ac:dyDescent="0.4">
      <c r="B75" s="104" t="s">
        <v>103</v>
      </c>
      <c r="C75" s="77">
        <f>Data!C8</f>
        <v>18409837</v>
      </c>
      <c r="D75" s="159">
        <f>C75/$C$74</f>
        <v>0.73600077942413045</v>
      </c>
      <c r="E75" s="238">
        <f>Inputs!E92</f>
        <v>12886885.9</v>
      </c>
      <c r="F75" s="160">
        <f>E75/E74</f>
        <v>0.73600077942413045</v>
      </c>
      <c r="H75" s="238">
        <f>Inputs!F92</f>
        <v>14727869.6</v>
      </c>
      <c r="I75" s="160">
        <f>H75/$H$74</f>
        <v>0.73600077942413045</v>
      </c>
      <c r="K75" s="24"/>
    </row>
    <row r="76" spans="1:11" ht="15" customHeight="1" x14ac:dyDescent="0.4">
      <c r="B76" s="35" t="s">
        <v>93</v>
      </c>
      <c r="C76" s="161">
        <f>C74-C75</f>
        <v>6603502</v>
      </c>
      <c r="D76" s="210"/>
      <c r="E76" s="162">
        <f>E74-E75</f>
        <v>4622451.4000000004</v>
      </c>
      <c r="F76" s="210"/>
      <c r="H76" s="162">
        <f>H74-H75</f>
        <v>5282801.5999999996</v>
      </c>
      <c r="I76" s="210"/>
      <c r="K76" s="24"/>
    </row>
    <row r="77" spans="1:11" ht="15" customHeight="1" x14ac:dyDescent="0.4">
      <c r="B77" s="104" t="s">
        <v>244</v>
      </c>
      <c r="C77" s="77">
        <f>Data!C10+MAX(Data!C11,0)</f>
        <v>5225366</v>
      </c>
      <c r="D77" s="159">
        <f>C77/$C$74</f>
        <v>0.20890317762054877</v>
      </c>
      <c r="E77" s="238">
        <f>Inputs!E93</f>
        <v>3657756.2</v>
      </c>
      <c r="F77" s="160">
        <f>E77/E74</f>
        <v>0.20890317762054877</v>
      </c>
      <c r="H77" s="238">
        <f>Inputs!F93</f>
        <v>4180292.8</v>
      </c>
      <c r="I77" s="160">
        <f>H77/$H$74</f>
        <v>0.20890317762054877</v>
      </c>
      <c r="K77" s="24"/>
    </row>
    <row r="78" spans="1:11" ht="15" customHeight="1" x14ac:dyDescent="0.4">
      <c r="B78" s="73" t="s">
        <v>168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228</v>
      </c>
      <c r="C79" s="257">
        <f>C76-C77-C78</f>
        <v>1378136</v>
      </c>
      <c r="D79" s="258">
        <f>C79/C74</f>
        <v>5.5096042955320758E-2</v>
      </c>
      <c r="E79" s="259">
        <f>E76-E77-E78</f>
        <v>964695.20000000019</v>
      </c>
      <c r="F79" s="258">
        <f>E79/E74</f>
        <v>5.5096042955320765E-2</v>
      </c>
      <c r="G79" s="260"/>
      <c r="H79" s="259">
        <f>H76-H77-H78</f>
        <v>1102508.7999999998</v>
      </c>
      <c r="I79" s="258">
        <f>H79/H74</f>
        <v>5.5096042955320751E-2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252</v>
      </c>
      <c r="C81" s="77">
        <f>MAX(Data!C17,0)</f>
        <v>129899</v>
      </c>
      <c r="D81" s="159">
        <f>C81/$C$74</f>
        <v>5.1931891220120593E-3</v>
      </c>
      <c r="E81" s="180">
        <f>E74*F81</f>
        <v>90929.3</v>
      </c>
      <c r="F81" s="160">
        <f>I81</f>
        <v>5.1931891220120593E-3</v>
      </c>
      <c r="H81" s="238">
        <f>Inputs!F94</f>
        <v>103919.2</v>
      </c>
      <c r="I81" s="160">
        <f>H81/$H$74</f>
        <v>5.1931891220120593E-3</v>
      </c>
      <c r="K81" s="24"/>
    </row>
    <row r="82" spans="1:11" ht="15" customHeight="1" x14ac:dyDescent="0.4">
      <c r="B82" s="28" t="s">
        <v>243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1248237</v>
      </c>
      <c r="D83" s="164">
        <f>C83/$C$74</f>
        <v>4.9902853833308697E-2</v>
      </c>
      <c r="E83" s="165">
        <f>E79-E81-E82-E80</f>
        <v>873765.90000000014</v>
      </c>
      <c r="F83" s="164">
        <f>E83/E74</f>
        <v>4.9902853833308704E-2</v>
      </c>
      <c r="H83" s="165">
        <f>H79-H81-H82-H80</f>
        <v>998589.59999999986</v>
      </c>
      <c r="I83" s="164">
        <f>H83/$H$74</f>
        <v>4.9902853833308697E-2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160</v>
      </c>
      <c r="C85" s="257">
        <f>C83*(1-I84)</f>
        <v>936177.75</v>
      </c>
      <c r="D85" s="258">
        <f>C85/$C$74</f>
        <v>3.7427140374981523E-2</v>
      </c>
      <c r="E85" s="264">
        <f>E83*(1-F84)</f>
        <v>655324.42500000005</v>
      </c>
      <c r="F85" s="258">
        <f>E85/E74</f>
        <v>3.7427140374981523E-2</v>
      </c>
      <c r="G85" s="260"/>
      <c r="H85" s="264">
        <f>H83*(1-I84)</f>
        <v>748942.2</v>
      </c>
      <c r="I85" s="258">
        <f>H85/$H$74</f>
        <v>3.7427140374981523E-2</v>
      </c>
      <c r="K85" s="24"/>
    </row>
    <row r="86" spans="1:11" ht="15" customHeight="1" x14ac:dyDescent="0.4">
      <c r="B86" s="87" t="s">
        <v>156</v>
      </c>
      <c r="C86" s="167">
        <f>C85*Data!C4/Common_Shares</f>
        <v>1.3819631221712778</v>
      </c>
      <c r="D86" s="209"/>
      <c r="E86" s="168">
        <f>E85*Data!C4/Common_Shares</f>
        <v>0.9673741855198944</v>
      </c>
      <c r="F86" s="209"/>
      <c r="H86" s="168">
        <f>H85*Data!C4/Common_Shares</f>
        <v>1.1055704977370222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0.21002479060353765</v>
      </c>
      <c r="D87" s="209"/>
      <c r="E87" s="262">
        <f>E86*Exchange_Rate/Dashboard!G3</f>
        <v>0.14701735342247635</v>
      </c>
      <c r="F87" s="209"/>
      <c r="H87" s="262">
        <f>H86*Exchange_Rate/Dashboard!G3</f>
        <v>0.16801983248283012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0.55000000000000004</v>
      </c>
      <c r="D88" s="166">
        <f>C88/C86</f>
        <v>0.3979845707719501</v>
      </c>
      <c r="E88" s="170">
        <f>Inputs!E98</f>
        <v>0.44000000000000006</v>
      </c>
      <c r="F88" s="166">
        <f>E88/E86</f>
        <v>0.45483950945365731</v>
      </c>
      <c r="H88" s="170">
        <f>Inputs!F98</f>
        <v>0.55000000000000004</v>
      </c>
      <c r="I88" s="166">
        <f>H88/H86</f>
        <v>0.49748071346493766</v>
      </c>
      <c r="K88" s="24"/>
    </row>
    <row r="89" spans="1:11" ht="15" customHeight="1" x14ac:dyDescent="0.4">
      <c r="B89" s="87" t="s">
        <v>217</v>
      </c>
      <c r="C89" s="261">
        <f>C88*Exchange_Rate/Dashboard!G3</f>
        <v>8.3586626139817641E-2</v>
      </c>
      <c r="D89" s="209"/>
      <c r="E89" s="261">
        <f>E88*Exchange_Rate/Dashboard!G3</f>
        <v>6.6869300911854113E-2</v>
      </c>
      <c r="F89" s="209"/>
      <c r="H89" s="261">
        <f>H88*Exchange_Rate/Dashboard!G3</f>
        <v>8.3586626139817641E-2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HK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205</v>
      </c>
      <c r="F93" s="144">
        <f>FV(E87,D93,0,-(E86/(C93-D94)))*Exchange_Rate</f>
        <v>31.680547961172344</v>
      </c>
      <c r="H93" s="87" t="s">
        <v>205</v>
      </c>
      <c r="I93" s="144">
        <f>FV(H87,D93,0,-(H86/(C93-D94)))*Exchange_Rate</f>
        <v>39.644758282027226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10.031295349646749</v>
      </c>
      <c r="H94" s="87" t="s">
        <v>206</v>
      </c>
      <c r="I94" s="144">
        <f>FV(H89,D93,0,-(H88/(C93-D94)))*Exchange_Rate</f>
        <v>13.552802796880295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13352372.314010279</v>
      </c>
      <c r="D97" s="213"/>
      <c r="E97" s="123">
        <f>PV(C94,D93,0,-F93)</f>
        <v>15.750831407796559</v>
      </c>
      <c r="F97" s="213"/>
      <c r="H97" s="123">
        <f>PV(C94,D93,0,-I93)</f>
        <v>19.710451494348135</v>
      </c>
      <c r="I97" s="123">
        <f>PV(C93,D93,0,-I93)</f>
        <v>26.903620062511045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13352372.314010279</v>
      </c>
      <c r="D100" s="109">
        <f>MIN(F100*(1-C94),E100)</f>
        <v>15.071045233411494</v>
      </c>
      <c r="E100" s="109">
        <f>MAX(E97+H98+E99,0)</f>
        <v>15.750831407796559</v>
      </c>
      <c r="F100" s="109">
        <f>(E100+H100)/2</f>
        <v>17.730641451072348</v>
      </c>
      <c r="H100" s="109">
        <f>MAX(C100*Data!$C$4/Common_Shares,0)</f>
        <v>19.710451494348135</v>
      </c>
      <c r="I100" s="109">
        <f>MAX(I97+H98+H99,0)</f>
        <v>26.903620062511045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4564590.0412601046</v>
      </c>
      <c r="D103" s="109">
        <f>MIN(F103*(1-C94),E103)</f>
        <v>4.9833225916140247</v>
      </c>
      <c r="E103" s="123">
        <f>PV(C94,D93,0,-F94)</f>
        <v>4.9873266727502878</v>
      </c>
      <c r="F103" s="109">
        <f>(E103+H103)/2</f>
        <v>5.8627324607223823</v>
      </c>
      <c r="H103" s="123">
        <f>PV(C94,D93,0,-I94)</f>
        <v>6.7381382486944768</v>
      </c>
      <c r="I103" s="109">
        <f>PV(C93,D93,0,-I94)</f>
        <v>9.1971668646723241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7024283.7379362639</v>
      </c>
      <c r="D106" s="109">
        <f>(D100+D103)/2</f>
        <v>10.02718391251276</v>
      </c>
      <c r="E106" s="123">
        <f>(E100+E103)/2</f>
        <v>10.369079040273423</v>
      </c>
      <c r="F106" s="109">
        <f>(F100+F103)/2</f>
        <v>11.796686955897364</v>
      </c>
      <c r="H106" s="123">
        <f>(H100+H103)/2</f>
        <v>13.224294871521305</v>
      </c>
      <c r="I106" s="123">
        <f>(I100+I103)/2</f>
        <v>18.050393463591686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