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7D789DD-8671-4A41-921D-D1C6EC0C97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F94" i="4" l="1"/>
  <c r="F95" i="4"/>
  <c r="F96" i="4"/>
  <c r="E92" i="4"/>
  <c r="F97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K53" i="2"/>
  <c r="L50" i="2"/>
  <c r="I53" i="2"/>
  <c r="J50" i="2"/>
  <c r="G53" i="2"/>
  <c r="H50" i="2"/>
  <c r="F53" i="2"/>
  <c r="G50" i="2"/>
  <c r="D53" i="2"/>
  <c r="E50" i="2"/>
  <c r="C53" i="2"/>
  <c r="D50" i="2"/>
  <c r="E53" i="2"/>
  <c r="F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60" i="2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L59" i="2" l="1"/>
  <c r="K59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55" i="2"/>
  <c r="C60" i="2"/>
  <c r="C61" i="2"/>
  <c r="E99" i="3"/>
  <c r="G23" i="1"/>
  <c r="E53" i="3" s="1"/>
  <c r="C27" i="2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<sst xmlns="http://schemas.openxmlformats.org/spreadsheetml/2006/main" count="393" uniqueCount="275">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</sst>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269</v>
      </c>
    </row>
    <row r="10" spans="1:5" ht="13.9" x14ac:dyDescent="0.4">
      <c r="B10" s="140" t="s">
        <v>212</v>
      </c>
      <c r="C10" s="193">
        <v>3585854271</v>
      </c>
    </row>
    <row r="11" spans="1:5" ht="13.9" x14ac:dyDescent="0.4">
      <c r="B11" s="140" t="s">
        <v>213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271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272</v>
      </c>
      <c r="D19" s="24"/>
    </row>
    <row r="20" spans="2:13" ht="13.9" x14ac:dyDescent="0.4">
      <c r="B20" s="241" t="s">
        <v>223</v>
      </c>
      <c r="C20" s="242" t="s">
        <v>272</v>
      </c>
      <c r="D20" s="24"/>
    </row>
    <row r="21" spans="2:13" ht="13.9" x14ac:dyDescent="0.4">
      <c r="B21" s="224" t="s">
        <v>226</v>
      </c>
      <c r="C21" s="242" t="s">
        <v>271</v>
      </c>
      <c r="D21" s="24"/>
    </row>
    <row r="22" spans="2:13" ht="78.75" x14ac:dyDescent="0.4">
      <c r="B22" s="226" t="s">
        <v>225</v>
      </c>
      <c r="C22" s="243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102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242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251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0268.HK</v>
      </c>
      <c r="D3" s="282"/>
      <c r="E3" s="87"/>
      <c r="F3" s="3" t="s">
        <v>1</v>
      </c>
      <c r="G3" s="132">
        <v>9.02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金蝶国际</v>
      </c>
      <c r="D4" s="284"/>
      <c r="E4" s="87"/>
      <c r="F4" s="3" t="s">
        <v>2</v>
      </c>
      <c r="G4" s="287">
        <f>Inputs!C10</f>
        <v>3585854271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45603</v>
      </c>
      <c r="D5" s="286"/>
      <c r="E5" s="34"/>
      <c r="F5" s="35" t="s">
        <v>96</v>
      </c>
      <c r="G5" s="279">
        <f>G3*G4/1000000</f>
        <v>32344.405524419999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0.35834792051449244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3.8655956702792868E-3</v>
      </c>
      <c r="F24" s="140" t="s">
        <v>253</v>
      </c>
      <c r="G24" s="268">
        <f>G3/(Fin_Analysis!H86*G7)</f>
        <v>-64.301070374560339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</v>
      </c>
    </row>
    <row r="26" spans="1:8" ht="15.75" customHeight="1" x14ac:dyDescent="0.4">
      <c r="B26" s="138" t="s">
        <v>168</v>
      </c>
      <c r="C26" s="171">
        <f>Fin_Analysis!I83</f>
        <v>-0.11044830732057855</v>
      </c>
      <c r="F26" s="141" t="s">
        <v>188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8">
        <f>IF(Fin_Analysis!C108="Profit",Fin_Analysis!I100,IF(Fin_Analysis!C108="Dividend",Fin_Analysis!I103,Fin_Analysis!I106))</f>
        <v>0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-3.4999139091007644E-2</v>
      </c>
      <c r="D57" s="153">
        <f t="shared" si="47"/>
        <v>-9.1644785243048289E-3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102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92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155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-1.5551840648606584E-2</v>
      </c>
      <c r="D87" s="209"/>
      <c r="E87" s="262">
        <f>E86*Exchange_Rate/Dashboard!G3</f>
        <v>-1.5551840648606584E-2</v>
      </c>
      <c r="F87" s="209"/>
      <c r="H87" s="262">
        <f>H86*Exchange_Rate/Dashboard!G3</f>
        <v>-1.5551840648606584E-2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216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-1.957792719100657</v>
      </c>
      <c r="H93" s="87" t="s">
        <v>204</v>
      </c>
      <c r="I93" s="144">
        <f>FV(H87,D93,0,-(H86/(C93-D94)))*Exchange_Rate</f>
        <v>-1.957792719100657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0</v>
      </c>
      <c r="H94" s="87" t="s">
        <v>205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-3490359.3589190859</v>
      </c>
      <c r="D97" s="213"/>
      <c r="E97" s="123">
        <f>PV(C94,D93,0,-F93)</f>
        <v>-0.9733689924732265</v>
      </c>
      <c r="F97" s="213"/>
      <c r="H97" s="123">
        <f>PV(C94,D93,0,-I93)</f>
        <v>-0.9733689924732265</v>
      </c>
      <c r="I97" s="123">
        <f>PV(C93,D93,0,-I93)</f>
        <v>-1.2945468186690907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-3490359.3589190859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