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BBC3A3-0D0F-4949-AE9F-502EE088309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F32" i="4"/>
  <c r="E32" i="4"/>
  <c r="D32" i="4"/>
  <c r="C32" i="4"/>
  <c r="F31" i="4"/>
  <c r="E31" i="4"/>
  <c r="D31" i="4"/>
  <c r="C31" i="4"/>
  <c r="B7" i="3"/>
  <c r="M53" i="2"/>
  <c r="F96" i="4" l="1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I27" i="2"/>
  <c r="I55" i="2"/>
  <c r="M27" i="2"/>
  <c r="M55" i="2"/>
  <c r="H55" i="2"/>
  <c r="K27" i="2"/>
  <c r="K55" i="2"/>
  <c r="J53" i="2"/>
  <c r="K50" i="2"/>
  <c r="H53" i="2"/>
  <c r="I50" i="2"/>
  <c r="K53" i="2"/>
  <c r="L50" i="2"/>
  <c r="I53" i="2"/>
  <c r="J50" i="2"/>
  <c r="E53" i="2"/>
  <c r="F53" i="2"/>
  <c r="G53" i="2"/>
  <c r="H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55" i="2" l="1"/>
  <c r="G55" i="2"/>
  <c r="E55" i="2"/>
  <c r="E22" i="2"/>
  <c r="E61" i="2" s="1"/>
  <c r="E60" i="2"/>
  <c r="L15" i="2"/>
  <c r="M60" i="2"/>
  <c r="G22" i="2"/>
  <c r="G61" i="2" s="1"/>
  <c r="G60" i="2"/>
  <c r="F22" i="2"/>
  <c r="F61" i="2" s="1"/>
  <c r="F60" i="2"/>
  <c r="K15" i="2"/>
  <c r="L60" i="2"/>
  <c r="D22" i="2"/>
  <c r="D61" i="2" s="1"/>
  <c r="D60" i="2"/>
  <c r="J15" i="2"/>
  <c r="K60" i="2"/>
  <c r="K59" i="2" s="1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E59" i="2" l="1"/>
  <c r="D59" i="2"/>
  <c r="M59" i="2"/>
  <c r="G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<sst xmlns="http://schemas.openxmlformats.org/spreadsheetml/2006/main" count="393" uniqueCount="273">
  <si>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</si>
  <si>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</si>
  <si>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</si>
  <si>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</si>
  <si>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</si>
  <si>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</si>
  <si>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</si>
  <si>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</si>
  <si>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</si>
  <si>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</si>
  <si>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</si>
  <si>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</si>
  <si>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</si>
  <si>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</si>
  <si>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</si>
  <si>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</si>
  <si>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</si>
  <si>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</si>
  <si>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</si>
  <si>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</si>
  <si>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</si>
  <si>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</si>
  <si>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</si>
  <si>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</si>
  <si>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</si>
  <si>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</si>
  <si>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</si>
  <si>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</si>
  <si>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</si>
  <si>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</si>
  <si>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</si>
  <si>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</si>
  <si>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</si>
  <si>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</si>
  <si>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</si>
  <si>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</si>
  <si>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</si>
  <si>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</si>
  <si>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</si>
  <si>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</si>
  <si>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</si>
  <si>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</si>
  <si>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</si>
  <si>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</si>
  <si>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</si>
  <si>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</si>
  <si>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</si>
  <si>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</si>
  <si>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</si>
  <si>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</si>
  <si>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</si>
  <si>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</si>
  <si>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</si>
  <si>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</si>
  <si>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</si>
  <si>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</si>
  <si>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</si>
  <si>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</si>
  <si>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</si>
  <si>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</si>
  <si>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</si>
  <si>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</si>
  <si>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</si>
  <si>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</si>
  <si>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</si>
  <si>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</si>
  <si>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</si>
  <si>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</si>
  <si>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</si>
  <si>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</si>
  <si>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</si>
  <si>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</si>
  <si>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</si>
  <si>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</si>
  <si>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</si>
  <si>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</si>
  <si>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</si>
  <si>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</si>
  <si>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</si>
  <si>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</si>
  <si>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</si>
  <si>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</si>
  <si>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</si>
  <si>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</si>
  <si>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</si>
  <si>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</si>
  <si>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</si>
  <si>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</si>
  <si>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</si>
  <si>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</si>
  <si>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</si>
  <si>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</si>
  <si>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</si>
  <si>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</si>
  <si>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</si>
  <si>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</si>
  <si>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</si>
  <si>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</si>
  <si>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</si>
  <si>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</si>
  <si>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</si>
  <si>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</si>
  <si>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</si>
  <si>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</si>
  <si>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</si>
  <si>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</si>
  <si>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</si>
  <si>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</si>
  <si>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</si>
  <si>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</si>
  <si>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</si>
  <si>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</si>
  <si>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</si>
  <si>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</si>
  <si>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</si>
  <si>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</si>
  <si>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</si>
  <si>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</si>
  <si>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</si>
  <si>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</si>
  <si>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</si>
  <si>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</si>
  <si>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</si>
  <si>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</si>
  <si>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</si>
  <si>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</si>
  <si>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</si>
  <si>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</si>
  <si>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</si>
  <si>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</si>
  <si>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</si>
  <si>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</si>
  <si>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</si>
  <si>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</si>
  <si>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</si>
  <si>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</si>
  <si>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</si>
  <si>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</si>
  <si>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</si>
  <si>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</si>
  <si>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</si>
  <si>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</si>
  <si>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</si>
  <si>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</si>
  <si>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</si>
  <si>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</si>
  <si>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</si>
  <si>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</si>
  <si>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</si>
  <si>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</si>
  <si>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</si>
  <si>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</si>
  <si>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</si>
  <si>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</si>
  <si>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</si>
  <si>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</si>
  <si>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</si>
  <si>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</si>
  <si>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</si>
  <si>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</si>
  <si>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</si>
  <si>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</si>
  <si>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</si>
  <si>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</si>
  <si>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</si>
  <si>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</si>
  <si>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</si>
  <si>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</si>
  <si>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</si>
  <si>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</si>
  <si>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</si>
  <si>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</si>
  <si>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</si>
  <si>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</si>
  <si>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</si>
  <si>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</si>
  <si>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</si>
  <si>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</si>
  <si>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</si>
  <si>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</si>
  <si>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</si>
  <si>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</si>
  <si>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</si>
  <si>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</si>
  <si>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</si>
  <si>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</si>
  <si>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</si>
  <si>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</si>
  <si>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</si>
  <si>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</si>
  <si>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</si>
  <si>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</si>
  <si>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</si>
  <si>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</si>
  <si>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</si>
  <si>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</si>
  <si>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</si>
  <si>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</si>
  <si>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</si>
  <si>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</si>
  <si>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</si>
  <si>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</si>
  <si>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</si>
  <si>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</si>
  <si>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</si>
  <si>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</si>
  <si>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</si>
  <si>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</si>
  <si>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</si>
  <si>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</si>
  <si>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</si>
  <si>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</si>
  <si>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</si>
  <si>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</si>
  <si>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</si>
  <si>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</si>
  <si>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</si>
  <si>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</si>
  <si>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</si>
  <si>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</si>
  <si>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</si>
  <si>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</si>
  <si>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</si>
  <si>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</si>
  <si>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</si>
  <si>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</si>
  <si>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</si>
  <si>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</si>
  <si>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</si>
  <si>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</si>
  <si>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</si>
  <si>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</si>
  <si>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</si>
  <si>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</si>
  <si>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</si>
  <si>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</si>
  <si>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</si>
  <si>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</si>
  <si>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</si>
  <si>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</si>
  <si>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</si>
  <si>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</si>
  <si>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</si>
  <si>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</si>
  <si>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</si>
  <si>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</si>
  <si>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</si>
  <si>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</si>
  <si>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</si>
  <si>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</si>
  <si>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</si>
  <si>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</si>
  <si>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</si>
  <si>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</si>
  <si>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</si>
  <si>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</si>
  <si>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</si>
  <si>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</si>
  <si>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</si>
  <si>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</si>
  <si>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</si>
  <si>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</si>
  <si>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</si>
  <si>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</si>
  <si>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</si>
  <si>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</si>
  <si>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</si>
  <si>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0303.HK</t>
  </si>
  <si>
    <t>VTECH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</si>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</sst>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0.70410588619098657</c:v>
                </c:pt>
                <c:pt idx="1">
                  <c:v>0.20412918860977769</c:v>
                </c:pt>
                <c:pt idx="2">
                  <c:v>0</c:v>
                </c:pt>
                <c:pt idx="3">
                  <c:v>0</c:v>
                </c:pt>
                <c:pt idx="4">
                  <c:v>2.2836370415249105E-3</c:v>
                </c:pt>
                <c:pt idx="5">
                  <c:v>1.0719112643892435E-2</c:v>
                </c:pt>
                <c:pt idx="6">
                  <c:v>7.8762175513818339E-2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269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253069133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184</v>
      </c>
    </row>
    <row r="16" spans="1:5" ht="13.9" x14ac:dyDescent="0.4">
      <c r="B16" s="222" t="s">
        <v>93</v>
      </c>
      <c r="C16" s="223">
        <v>0.23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2145700</v>
      </c>
      <c r="D25" s="149">
        <v>2241700</v>
      </c>
      <c r="E25" s="149">
        <v>2370500</v>
      </c>
      <c r="F25" s="149">
        <v>2372300</v>
      </c>
      <c r="G25" s="149">
        <v>2165500</v>
      </c>
      <c r="H25" s="149">
        <v>2161900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1510800</v>
      </c>
      <c r="D26" s="150">
        <v>1608000</v>
      </c>
      <c r="E26" s="150">
        <v>1701400</v>
      </c>
      <c r="F26" s="150">
        <v>1645700</v>
      </c>
      <c r="G26" s="150">
        <v>1501900</v>
      </c>
      <c r="H26" s="150">
        <v>1525500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356300</v>
      </c>
      <c r="D27" s="150">
        <v>371600</v>
      </c>
      <c r="E27" s="150">
        <v>380500</v>
      </c>
      <c r="F27" s="150">
        <v>378200</v>
      </c>
      <c r="G27" s="150">
        <v>368100</v>
      </c>
      <c r="H27" s="150">
        <v>371900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81700</v>
      </c>
      <c r="D28" s="150">
        <v>83300</v>
      </c>
      <c r="E28" s="150">
        <v>84300</v>
      </c>
      <c r="F28" s="150">
        <v>86400</v>
      </c>
      <c r="G28" s="150">
        <v>81700</v>
      </c>
      <c r="H28" s="150">
        <v>77200</v>
      </c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4900</v>
      </c>
      <c r="D29" s="150">
        <v>12000</v>
      </c>
      <c r="E29" s="150">
        <v>9600</v>
      </c>
      <c r="F29" s="150">
        <v>7300</v>
      </c>
      <c r="G29" s="150">
        <v>7400</v>
      </c>
      <c r="H29" s="150">
        <v>900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>
        <v>0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(-127.5-40.3+48.2+1.6+0.1)*1000</f>
        <v>-117900.00000000001</v>
      </c>
      <c r="D31" s="150">
        <f>(-77.8-60+100.3+2.7+0.3)*1000</f>
        <v>-34500.000000000015</v>
      </c>
      <c r="E31" s="150">
        <f>(139.3+63.6-109.2-1.9)*1000</f>
        <v>91800</v>
      </c>
      <c r="F31" s="150">
        <f>(41.4+49.7-67.5-2.2-0.2)*1000</f>
        <v>21199.999999999996</v>
      </c>
      <c r="G31" s="150">
        <v>11500</v>
      </c>
      <c r="H31" s="150">
        <v>-43500</v>
      </c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33200+21600+600</f>
        <v>55400</v>
      </c>
      <c r="D32" s="150">
        <f>34700+21100+700</f>
        <v>56500</v>
      </c>
      <c r="E32" s="150">
        <f>(41.4+22.4+0.8)*1000</f>
        <v>64599.999999999993</v>
      </c>
      <c r="F32" s="150">
        <f>(36.6+21.8+0.9)*1000</f>
        <v>59300.000000000007</v>
      </c>
      <c r="G32" s="150">
        <v>57200</v>
      </c>
      <c r="H32" s="150">
        <v>38000</v>
      </c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32400</v>
      </c>
      <c r="D33" s="150">
        <v>27900</v>
      </c>
      <c r="E33" s="150">
        <v>35900</v>
      </c>
      <c r="F33" s="150">
        <v>49400</v>
      </c>
      <c r="G33" s="150">
        <v>33200</v>
      </c>
      <c r="H33" s="150">
        <v>37300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>
        <v>1142200</v>
      </c>
      <c r="F34" s="150">
        <v>1080300</v>
      </c>
      <c r="G34" s="150">
        <v>889800</v>
      </c>
      <c r="H34" s="150">
        <v>929600</v>
      </c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>
        <v>628000</v>
      </c>
      <c r="F37" s="150">
        <v>523000</v>
      </c>
      <c r="G37" s="150">
        <v>441900</v>
      </c>
      <c r="H37" s="150">
        <v>476500</v>
      </c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>
        <v>20600</v>
      </c>
      <c r="F39" s="150">
        <v>17500</v>
      </c>
      <c r="G39" s="150">
        <v>17900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>
        <v>176500</v>
      </c>
      <c r="F40" s="150">
        <v>188600</v>
      </c>
      <c r="G40" s="150">
        <v>147300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>
        <v>678800</v>
      </c>
      <c r="F41" s="150">
        <v>731100</v>
      </c>
      <c r="G41" s="150">
        <v>601500</v>
      </c>
      <c r="H41" s="150">
        <v>607000</v>
      </c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0.58985854464659881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8.922130920495934E-2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45382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2145700</v>
      </c>
      <c r="D91" s="209"/>
      <c r="E91" s="251">
        <f>C91</f>
        <v>2145700</v>
      </c>
      <c r="F91" s="251">
        <f>C91</f>
        <v>2145700</v>
      </c>
    </row>
    <row r="92" spans="2:8" ht="13.9" x14ac:dyDescent="0.4">
      <c r="B92" s="104" t="s">
        <v>102</v>
      </c>
      <c r="C92" s="77">
        <f>C26</f>
        <v>1510800</v>
      </c>
      <c r="D92" s="159">
        <f>C92/C91</f>
        <v>0.70410588619098657</v>
      </c>
      <c r="E92" s="252">
        <f>E91*D92</f>
        <v>1510800</v>
      </c>
      <c r="F92" s="252">
        <f>F91*D92</f>
        <v>1510800</v>
      </c>
    </row>
    <row r="93" spans="2:8" ht="13.9" x14ac:dyDescent="0.4">
      <c r="B93" s="104" t="s">
        <v>242</v>
      </c>
      <c r="C93" s="77">
        <f>C27+C28</f>
        <v>438000</v>
      </c>
      <c r="D93" s="159">
        <f>C93/C91</f>
        <v>0.20412918860977769</v>
      </c>
      <c r="E93" s="252">
        <f>E91*D93</f>
        <v>438000</v>
      </c>
      <c r="F93" s="252">
        <f>F91*D93</f>
        <v>438000</v>
      </c>
    </row>
    <row r="94" spans="2:8" ht="13.9" x14ac:dyDescent="0.4">
      <c r="B94" s="104" t="s">
        <v>251</v>
      </c>
      <c r="C94" s="77">
        <f>C29</f>
        <v>4900</v>
      </c>
      <c r="D94" s="159">
        <f>C94/C91</f>
        <v>2.2836370415249105E-3</v>
      </c>
      <c r="E94" s="253"/>
      <c r="F94" s="252">
        <f>F91*D94</f>
        <v>4900.0000000000009</v>
      </c>
    </row>
    <row r="95" spans="2:8" ht="13.9" x14ac:dyDescent="0.4">
      <c r="B95" s="28" t="s">
        <v>241</v>
      </c>
      <c r="C95" s="77">
        <f>ABS(MAX(C33,0)-C32)</f>
        <v>23000</v>
      </c>
      <c r="D95" s="159">
        <f>C95/C91</f>
        <v>1.0719112643892435E-2</v>
      </c>
      <c r="E95" s="252">
        <f>E91*D95</f>
        <v>23000</v>
      </c>
      <c r="F95" s="252">
        <f>F91*D95</f>
        <v>23000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0.58985854464659881</v>
      </c>
      <c r="D98" s="266"/>
      <c r="E98" s="254">
        <f>F98</f>
        <v>0.58985854464659881</v>
      </c>
      <c r="F98" s="254">
        <f>C98</f>
        <v>0.58985854464659881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0303.HK : VTECH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0303.HK</v>
      </c>
      <c r="D3" s="282"/>
      <c r="E3" s="87"/>
      <c r="F3" s="3" t="s">
        <v>1</v>
      </c>
      <c r="G3" s="132">
        <v>51.4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VTECH</v>
      </c>
      <c r="D4" s="284"/>
      <c r="E4" s="87"/>
      <c r="F4" s="3" t="s">
        <v>2</v>
      </c>
      <c r="G4" s="287">
        <f>Inputs!C10</f>
        <v>253069133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45639</v>
      </c>
      <c r="D5" s="286"/>
      <c r="E5" s="34"/>
      <c r="F5" s="35" t="s">
        <v>96</v>
      </c>
      <c r="G5" s="279">
        <f>G3*G4/1000000</f>
        <v>13007.753436199999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45382</v>
      </c>
      <c r="F6" s="3" t="s">
        <v>4</v>
      </c>
      <c r="G6" s="280" t="str">
        <f>Inputs!C11</f>
        <v>USD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7.7747035026550293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HK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0.70410588619098657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0.20412918860977769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2.2836370415249105E-3</v>
      </c>
      <c r="F24" s="140" t="s">
        <v>254</v>
      </c>
      <c r="G24" s="268">
        <f>G3/(Fin_Analysis!H86*G7)</f>
        <v>12.857041056376293</v>
      </c>
    </row>
    <row r="25" spans="1:8" ht="15.75" customHeight="1" x14ac:dyDescent="0.4">
      <c r="B25" s="137" t="s">
        <v>238</v>
      </c>
      <c r="C25" s="171">
        <f>Fin_Analysis!I82</f>
        <v>1.0719112643892435E-2</v>
      </c>
      <c r="F25" s="140" t="s">
        <v>169</v>
      </c>
      <c r="G25" s="171">
        <f>Fin_Analysis!I88</f>
        <v>1.1471220355518064</v>
      </c>
    </row>
    <row r="26" spans="1:8" ht="15.75" customHeight="1" x14ac:dyDescent="0.4">
      <c r="B26" s="138" t="s">
        <v>168</v>
      </c>
      <c r="C26" s="171">
        <f>Fin_Analysis!I83</f>
        <v>7.8762175513818339E-2</v>
      </c>
      <c r="F26" s="141" t="s">
        <v>188</v>
      </c>
      <c r="G26" s="178">
        <f>Fin_Analysis!H88*Exchange_Rate/G3</f>
        <v>8.922130920495934E-2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40.52727706739816</v>
      </c>
      <c r="D29" s="129">
        <f>G29*(1+G20)</f>
        <v>74.841156310179159</v>
      </c>
      <c r="E29" s="87"/>
      <c r="F29" s="131">
        <f>IF(Fin_Analysis!C108="Profit",Fin_Analysis!F100,IF(Fin_Analysis!C108="Dividend",Fin_Analysis!F103,Fin_Analysis!F106))</f>
        <v>47.679149491056656</v>
      </c>
      <c r="G29" s="278">
        <f>IF(Fin_Analysis!C108="Profit",Fin_Analysis!I100,IF(Fin_Analysis!C108="Dividend",Fin_Analysis!I103,Fin_Analysis!I106))</f>
        <v>65.079266356677536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195</v>
      </c>
      <c r="F3" s="85">
        <f>H14</f>
        <v>187300</v>
      </c>
      <c r="G3" s="85">
        <f>C14</f>
        <v>196900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196</v>
      </c>
      <c r="F4" s="93">
        <f>(G3/F3)^(1/H3)-1</f>
        <v>8.3655264529756135E-3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2145700</v>
      </c>
      <c r="D6" s="200">
        <f>IF(Inputs!D25="","",Inputs!D25)</f>
        <v>2241700</v>
      </c>
      <c r="E6" s="200">
        <f>IF(Inputs!E25="","",Inputs!E25)</f>
        <v>2370500</v>
      </c>
      <c r="F6" s="200">
        <f>IF(Inputs!F25="","",Inputs!F25)</f>
        <v>2372300</v>
      </c>
      <c r="G6" s="200">
        <f>IF(Inputs!G25="","",Inputs!G25)</f>
        <v>2165500</v>
      </c>
      <c r="H6" s="200">
        <f>IF(Inputs!H25="","",Inputs!H25)</f>
        <v>2161900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-4.2824642012758152E-2</v>
      </c>
      <c r="D7" s="92">
        <f t="shared" si="1"/>
        <v>-5.4334528580468278E-2</v>
      </c>
      <c r="E7" s="92">
        <f t="shared" si="1"/>
        <v>-7.5875732411578856E-4</v>
      </c>
      <c r="F7" s="92">
        <f t="shared" si="1"/>
        <v>9.5497575617640162E-2</v>
      </c>
      <c r="G7" s="92">
        <f t="shared" si="1"/>
        <v>1.6652019057310508E-3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1510800</v>
      </c>
      <c r="D8" s="199">
        <f>IF(Inputs!D26="","",Inputs!D26)</f>
        <v>1608000</v>
      </c>
      <c r="E8" s="199">
        <f>IF(Inputs!E26="","",Inputs!E26)</f>
        <v>1701400</v>
      </c>
      <c r="F8" s="199">
        <f>IF(Inputs!F26="","",Inputs!F26)</f>
        <v>1645700</v>
      </c>
      <c r="G8" s="199">
        <f>IF(Inputs!G26="","",Inputs!G26)</f>
        <v>1501900</v>
      </c>
      <c r="H8" s="199">
        <f>IF(Inputs!H26="","",Inputs!H26)</f>
        <v>1525500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634900</v>
      </c>
      <c r="D9" s="151">
        <f t="shared" si="2"/>
        <v>633700</v>
      </c>
      <c r="E9" s="151">
        <f t="shared" si="2"/>
        <v>669100</v>
      </c>
      <c r="F9" s="151">
        <f t="shared" si="2"/>
        <v>726600</v>
      </c>
      <c r="G9" s="151">
        <f t="shared" si="2"/>
        <v>663600</v>
      </c>
      <c r="H9" s="151">
        <f t="shared" si="2"/>
        <v>636400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356300</v>
      </c>
      <c r="D10" s="199">
        <f>IF(Inputs!D27="","",Inputs!D27)</f>
        <v>371600</v>
      </c>
      <c r="E10" s="199">
        <f>IF(Inputs!E27="","",Inputs!E27)</f>
        <v>380500</v>
      </c>
      <c r="F10" s="199">
        <f>IF(Inputs!F27="","",Inputs!F27)</f>
        <v>378200</v>
      </c>
      <c r="G10" s="199">
        <f>IF(Inputs!G27="","",Inputs!G27)</f>
        <v>368100</v>
      </c>
      <c r="H10" s="199">
        <f>IF(Inputs!H27="","",Inputs!H27)</f>
        <v>371900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81700</v>
      </c>
      <c r="D11" s="199">
        <f>IF(Inputs!D28="","",Inputs!D28)</f>
        <v>83300</v>
      </c>
      <c r="E11" s="199">
        <f>IF(Inputs!E28="","",Inputs!E28)</f>
        <v>84300</v>
      </c>
      <c r="F11" s="199">
        <f>IF(Inputs!F28="","",Inputs!F28)</f>
        <v>86400</v>
      </c>
      <c r="G11" s="199">
        <f>IF(Inputs!G28="","",Inputs!G28)</f>
        <v>81700</v>
      </c>
      <c r="H11" s="199">
        <f>IF(Inputs!H28="","",Inputs!H28)</f>
        <v>77200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9.1764925199235681E-2</v>
      </c>
      <c r="D13" s="229">
        <f t="shared" si="3"/>
        <v>7.9760895748762106E-2</v>
      </c>
      <c r="E13" s="229">
        <f t="shared" si="3"/>
        <v>8.6184349293398022E-2</v>
      </c>
      <c r="F13" s="229">
        <f t="shared" si="3"/>
        <v>0.11044134384352738</v>
      </c>
      <c r="G13" s="229">
        <f t="shared" si="3"/>
        <v>9.8730085430616482E-2</v>
      </c>
      <c r="H13" s="229">
        <f t="shared" si="3"/>
        <v>8.6636754706508168E-2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196900</v>
      </c>
      <c r="D14" s="230">
        <f t="shared" ref="D14:M14" si="4">IF(D6="","",D9-D10-MAX(D11,0)-MAX(D12,0))</f>
        <v>178800</v>
      </c>
      <c r="E14" s="230">
        <f t="shared" si="4"/>
        <v>204300</v>
      </c>
      <c r="F14" s="230">
        <f t="shared" si="4"/>
        <v>262000</v>
      </c>
      <c r="G14" s="230">
        <f t="shared" si="4"/>
        <v>213800</v>
      </c>
      <c r="H14" s="230">
        <f t="shared" si="4"/>
        <v>187300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0.10123042505592841</v>
      </c>
      <c r="D15" s="232">
        <f t="shared" ref="D15:M15" si="5">IF(E14="","",IF(ABS(D14+E14)=ABS(D14)+ABS(E14),IF(D14&lt;0,-1,1)*(D14-E14)/E14,"Turn"))</f>
        <v>-0.12481644640234948</v>
      </c>
      <c r="E15" s="232">
        <f t="shared" si="5"/>
        <v>-0.2202290076335878</v>
      </c>
      <c r="F15" s="232">
        <f t="shared" si="5"/>
        <v>0.225444340505145</v>
      </c>
      <c r="G15" s="232">
        <f t="shared" si="5"/>
        <v>0.1414842498665243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-117900.00000000001</v>
      </c>
      <c r="D16" s="199">
        <f>IF(Inputs!D31="","",Inputs!D31)</f>
        <v>-34500.000000000015</v>
      </c>
      <c r="E16" s="199">
        <f>IF(Inputs!E31="","",Inputs!E31)</f>
        <v>91800</v>
      </c>
      <c r="F16" s="199">
        <f>IF(Inputs!F31="","",Inputs!F31)</f>
        <v>21199.999999999996</v>
      </c>
      <c r="G16" s="199">
        <f>IF(Inputs!G31="","",Inputs!G31)</f>
        <v>11500</v>
      </c>
      <c r="H16" s="199">
        <f>IF(Inputs!H31="","",Inputs!H31)</f>
        <v>-43500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4900</v>
      </c>
      <c r="D17" s="199">
        <f>IF(Inputs!D29="","",Inputs!D29)</f>
        <v>12000</v>
      </c>
      <c r="E17" s="199">
        <f>IF(Inputs!E29="","",Inputs!E29)</f>
        <v>9600</v>
      </c>
      <c r="F17" s="199">
        <f>IF(Inputs!F29="","",Inputs!F29)</f>
        <v>7300</v>
      </c>
      <c r="G17" s="199">
        <f>IF(Inputs!G29="","",Inputs!G29)</f>
        <v>7400</v>
      </c>
      <c r="H17" s="199">
        <f>IF(Inputs!H29="","",Inputs!H29)</f>
        <v>900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2.5819080020506129E-2</v>
      </c>
      <c r="D18" s="152">
        <f t="shared" si="6"/>
        <v>2.5204086184592051E-2</v>
      </c>
      <c r="E18" s="152">
        <f t="shared" si="6"/>
        <v>2.7251634676228639E-2</v>
      </c>
      <c r="F18" s="152">
        <f t="shared" si="6"/>
        <v>2.4996838511149519E-2</v>
      </c>
      <c r="G18" s="152">
        <f t="shared" si="6"/>
        <v>2.6414223043177094E-2</v>
      </c>
      <c r="H18" s="152">
        <f t="shared" si="6"/>
        <v>1.7577131227161293E-2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55400</v>
      </c>
      <c r="D19" s="199">
        <f>IF(Inputs!D32="","",Inputs!D32)</f>
        <v>56500</v>
      </c>
      <c r="E19" s="199">
        <f>IF(Inputs!E32="","",Inputs!E32)</f>
        <v>64599.999999999993</v>
      </c>
      <c r="F19" s="199">
        <f>IF(Inputs!F32="","",Inputs!F32)</f>
        <v>59300.000000000007</v>
      </c>
      <c r="G19" s="199">
        <f>IF(Inputs!G32="","",Inputs!G32)</f>
        <v>57200</v>
      </c>
      <c r="H19" s="199">
        <f>IF(Inputs!H32="","",Inputs!H32)</f>
        <v>38000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1.5099967376613692E-2</v>
      </c>
      <c r="D20" s="152">
        <f t="shared" si="7"/>
        <v>1.2445911584957845E-2</v>
      </c>
      <c r="E20" s="152">
        <f t="shared" si="7"/>
        <v>1.5144484286015608E-2</v>
      </c>
      <c r="F20" s="152">
        <f t="shared" si="7"/>
        <v>2.0823673228512415E-2</v>
      </c>
      <c r="G20" s="152">
        <f t="shared" si="7"/>
        <v>1.5331332255830062E-2</v>
      </c>
      <c r="H20" s="152">
        <f t="shared" si="7"/>
        <v>1.7253341967713585E-2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32400</v>
      </c>
      <c r="D21" s="199">
        <f>IF(Inputs!D33="","",Inputs!D33)</f>
        <v>27900</v>
      </c>
      <c r="E21" s="199">
        <f>IF(Inputs!E33="","",Inputs!E33)</f>
        <v>35900</v>
      </c>
      <c r="F21" s="199">
        <f>IF(Inputs!F33="","",Inputs!F33)</f>
        <v>49400</v>
      </c>
      <c r="G21" s="199">
        <f>IF(Inputs!G33="","",Inputs!G33)</f>
        <v>33200</v>
      </c>
      <c r="H21" s="199">
        <f>IF(Inputs!H33="","",Inputs!H33)</f>
        <v>37300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169000</v>
      </c>
      <c r="D22" s="161">
        <f t="shared" ref="D22:M22" si="8">IF(D6="","",D14-MAX(D16,0)-MAX(D17,0)-ABS(MAX(D21,0)-MAX(D19,0)))</f>
        <v>138200</v>
      </c>
      <c r="E22" s="161">
        <f t="shared" si="8"/>
        <v>74200</v>
      </c>
      <c r="F22" s="161">
        <f t="shared" si="8"/>
        <v>223600</v>
      </c>
      <c r="G22" s="161">
        <f t="shared" si="8"/>
        <v>170900</v>
      </c>
      <c r="H22" s="161">
        <f t="shared" si="8"/>
        <v>185700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6.0646875145640121E-2</v>
      </c>
      <c r="D23" s="153">
        <f t="shared" si="9"/>
        <v>4.7470223491100506E-2</v>
      </c>
      <c r="E23" s="153">
        <f t="shared" si="9"/>
        <v>2.4102088167053365E-2</v>
      </c>
      <c r="F23" s="153">
        <f t="shared" si="9"/>
        <v>7.2575981115373264E-2</v>
      </c>
      <c r="G23" s="153">
        <f t="shared" si="9"/>
        <v>6.0767951974139922E-2</v>
      </c>
      <c r="H23" s="153">
        <f t="shared" si="9"/>
        <v>6.6140432027383317E-2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130130</v>
      </c>
      <c r="D24" s="77">
        <f>IF(D6="","",D22*(1-Fin_Analysis!$I$84))</f>
        <v>106414</v>
      </c>
      <c r="E24" s="77">
        <f>IF(E6="","",E22*(1-Fin_Analysis!$I$84))</f>
        <v>57134</v>
      </c>
      <c r="F24" s="77">
        <f>IF(F6="","",F22*(1-Fin_Analysis!$I$84))</f>
        <v>172172</v>
      </c>
      <c r="G24" s="77">
        <f>IF(G6="","",G22*(1-Fin_Analysis!$I$84))</f>
        <v>131593</v>
      </c>
      <c r="H24" s="77">
        <f>IF(H6="","",H22*(1-Fin_Analysis!$I$84))</f>
        <v>142989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0.22286541244573083</v>
      </c>
      <c r="D25" s="233">
        <f t="shared" ref="D25:M25" si="10">IF(E24="","",IF(ABS(D24+E24)=ABS(D24)+ABS(E24),IF(D24&lt;0,-1,1)*(D24-E24)/E24,"Turn"))</f>
        <v>0.86253369272237201</v>
      </c>
      <c r="E25" s="233">
        <f t="shared" si="10"/>
        <v>-0.66815742397137745</v>
      </c>
      <c r="F25" s="233">
        <f t="shared" si="10"/>
        <v>0.30836746635459333</v>
      </c>
      <c r="G25" s="233">
        <f t="shared" si="10"/>
        <v>-7.9698438341410882E-2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e">
        <f t="shared" si="20"/>
        <v>#VALUE!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>
        <f>IF(Inputs!E34="","",Inputs!E34)</f>
        <v>1142200</v>
      </c>
      <c r="F28" s="199">
        <f>IF(Inputs!F34="","",Inputs!F34)</f>
        <v>1080300</v>
      </c>
      <c r="G28" s="199">
        <f>IF(Inputs!G34="","",Inputs!G34)</f>
        <v>889800</v>
      </c>
      <c r="H28" s="199">
        <f>IF(Inputs!H34="","",Inputs!H34)</f>
        <v>929600</v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>
        <f>IF(Inputs!E37="","",Inputs!E37)</f>
        <v>628000</v>
      </c>
      <c r="F31" s="199">
        <f>IF(Inputs!F37="","",Inputs!F37)</f>
        <v>523000</v>
      </c>
      <c r="G31" s="199">
        <f>IF(Inputs!G37="","",Inputs!G37)</f>
        <v>441900</v>
      </c>
      <c r="H31" s="199">
        <f>IF(Inputs!H37="","",Inputs!H37)</f>
        <v>476500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>
        <f>IF(Inputs!E39="","",Inputs!E39)</f>
        <v>20600</v>
      </c>
      <c r="F33" s="199">
        <f>IF(Inputs!F39="","",Inputs!F39)</f>
        <v>17500</v>
      </c>
      <c r="G33" s="199">
        <f>IF(Inputs!G39="","",Inputs!G39)</f>
        <v>17900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>
        <f>IF(Inputs!E40="","",Inputs!E40)</f>
        <v>176500</v>
      </c>
      <c r="F34" s="199">
        <f>IF(Inputs!F40="","",Inputs!F40)</f>
        <v>188600</v>
      </c>
      <c r="G34" s="199">
        <f>IF(Inputs!G40="","",Inputs!G40)</f>
        <v>147300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>
        <f t="shared" ref="E35" si="23">IF(OR(E33="",E34=""),"",E33+E34)</f>
        <v>197100</v>
      </c>
      <c r="F35" s="77">
        <f t="shared" ref="F35" si="24">IF(OR(F33="",F34=""),"",F33+F34)</f>
        <v>206100</v>
      </c>
      <c r="G35" s="77">
        <f t="shared" ref="G35" si="25">IF(OR(G33="",G34=""),"",G33+G34)</f>
        <v>165200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>
        <f>IF(Inputs!E41="","",Inputs!E41)</f>
        <v>678800</v>
      </c>
      <c r="F36" s="199">
        <f>IF(Inputs!F41="","",Inputs!F41)</f>
        <v>731100</v>
      </c>
      <c r="G36" s="199">
        <f>IF(Inputs!G41="","",Inputs!G41)</f>
        <v>601500</v>
      </c>
      <c r="H36" s="199">
        <f>IF(Inputs!H41="","",Inputs!H41)</f>
        <v>607000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0.70410588619098657</v>
      </c>
      <c r="D42" s="156">
        <f t="shared" si="34"/>
        <v>0.7173127537136994</v>
      </c>
      <c r="E42" s="156">
        <f t="shared" si="34"/>
        <v>0.71773887365534694</v>
      </c>
      <c r="F42" s="156">
        <f t="shared" si="34"/>
        <v>0.69371496016524048</v>
      </c>
      <c r="G42" s="156">
        <f t="shared" si="34"/>
        <v>0.69355806972985456</v>
      </c>
      <c r="H42" s="156">
        <f t="shared" si="34"/>
        <v>0.70562930755354092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0.20412918860977769</v>
      </c>
      <c r="D43" s="153">
        <f t="shared" si="35"/>
        <v>0.20292635053753846</v>
      </c>
      <c r="E43" s="153">
        <f t="shared" si="35"/>
        <v>0.19607677705125501</v>
      </c>
      <c r="F43" s="153">
        <f t="shared" si="35"/>
        <v>0.19584369599123214</v>
      </c>
      <c r="G43" s="153">
        <f t="shared" si="35"/>
        <v>0.20771184483952898</v>
      </c>
      <c r="H43" s="153">
        <f t="shared" si="35"/>
        <v>0.20773393773995097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3.8726007171482807E-2</v>
      </c>
      <c r="F44" s="153">
        <f t="shared" si="36"/>
        <v>8.9364751506976342E-3</v>
      </c>
      <c r="G44" s="153">
        <f t="shared" si="36"/>
        <v>5.3105518356037868E-3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2.2836370415249105E-3</v>
      </c>
      <c r="D45" s="153">
        <f t="shared" si="37"/>
        <v>5.3530802515947716E-3</v>
      </c>
      <c r="E45" s="153">
        <f t="shared" si="37"/>
        <v>4.0497785277367644E-3</v>
      </c>
      <c r="F45" s="153">
        <f t="shared" si="37"/>
        <v>3.07718248113645E-3</v>
      </c>
      <c r="G45" s="153">
        <f t="shared" si="37"/>
        <v>3.417224659432002E-3</v>
      </c>
      <c r="H45" s="153">
        <f t="shared" si="37"/>
        <v>4.1630047643276746E-4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1.0719112643892435E-2</v>
      </c>
      <c r="D47" s="153">
        <f t="shared" ref="D47:M47" si="39">IF(D6="","",ABS(MAX(D21,0)-MAX(D19,0))/D6)</f>
        <v>1.2758174599634206E-2</v>
      </c>
      <c r="E47" s="153">
        <f t="shared" si="39"/>
        <v>1.2107150390213033E-2</v>
      </c>
      <c r="F47" s="153">
        <f t="shared" si="39"/>
        <v>4.1731652826371059E-3</v>
      </c>
      <c r="G47" s="153">
        <f t="shared" si="39"/>
        <v>1.1082890787347033E-2</v>
      </c>
      <c r="H47" s="153">
        <f t="shared" si="39"/>
        <v>3.2378925944770805E-4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7.8762175513818339E-2</v>
      </c>
      <c r="D48" s="153">
        <f t="shared" si="40"/>
        <v>6.1649640897533123E-2</v>
      </c>
      <c r="E48" s="153">
        <f t="shared" si="40"/>
        <v>3.1301413203965407E-2</v>
      </c>
      <c r="F48" s="153">
        <f t="shared" si="40"/>
        <v>9.4254520929056188E-2</v>
      </c>
      <c r="G48" s="153">
        <f t="shared" si="40"/>
        <v>7.8919418148233667E-2</v>
      </c>
      <c r="H48" s="153">
        <f t="shared" si="40"/>
        <v>8.5896664970627687E-2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>
        <f>IF(D6="","",C16/(C6-D6))</f>
        <v>1.2281250000000001</v>
      </c>
      <c r="D53" s="153">
        <f t="shared" ref="D53:M53" si="44">IF(E6="","",D16/(D6-E6))</f>
        <v>0.26785714285714296</v>
      </c>
      <c r="E53" s="153">
        <f t="shared" si="44"/>
        <v>-51</v>
      </c>
      <c r="F53" s="153">
        <f t="shared" si="44"/>
        <v>0.1025145067698259</v>
      </c>
      <c r="G53" s="153">
        <f t="shared" si="44"/>
        <v>3.1944444444444446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e">
        <f t="shared" si="45"/>
        <v>#VALUE!</v>
      </c>
      <c r="F55" s="156" t="e">
        <f t="shared" si="45"/>
        <v>#VALUE!</v>
      </c>
      <c r="G55" s="156" t="e">
        <f t="shared" si="45"/>
        <v>#VALUE!</v>
      </c>
      <c r="H55" s="156" t="e">
        <f t="shared" si="45"/>
        <v>#VALUE!</v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>
        <f t="shared" si="46"/>
        <v>0.37645865043125315</v>
      </c>
      <c r="F56" s="157">
        <f t="shared" si="46"/>
        <v>1.0849102377486657</v>
      </c>
      <c r="G56" s="157">
        <f t="shared" si="46"/>
        <v>1.0345036319612591</v>
      </c>
      <c r="H56" s="157" t="str">
        <f t="shared" si="46"/>
        <v>-</v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2.8994082840236687E-2</v>
      </c>
      <c r="D57" s="153">
        <f t="shared" si="47"/>
        <v>8.6830680173661356E-2</v>
      </c>
      <c r="E57" s="153">
        <f t="shared" si="47"/>
        <v>0.1293800539083558</v>
      </c>
      <c r="F57" s="153">
        <f t="shared" si="47"/>
        <v>3.2647584973166367E-2</v>
      </c>
      <c r="G57" s="153">
        <f t="shared" si="47"/>
        <v>4.3300175541252192E-2</v>
      </c>
      <c r="H57" s="153">
        <f t="shared" si="47"/>
        <v>4.8465266558966073E-3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>
        <f t="shared" si="48"/>
        <v>1.8187898089171974</v>
      </c>
      <c r="F58" s="158">
        <f t="shared" si="48"/>
        <v>2.0655831739961759</v>
      </c>
      <c r="G58" s="158">
        <f t="shared" si="48"/>
        <v>2.0135777325186694</v>
      </c>
      <c r="H58" s="158">
        <f t="shared" si="48"/>
        <v>1.9508919202518362</v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45382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2145700</v>
      </c>
      <c r="D74" s="209"/>
      <c r="E74" s="238">
        <f>Inputs!E91</f>
        <v>2145700</v>
      </c>
      <c r="F74" s="209"/>
      <c r="H74" s="238">
        <f>Inputs!F91</f>
        <v>2145700</v>
      </c>
      <c r="I74" s="209"/>
      <c r="K74" s="24"/>
    </row>
    <row r="75" spans="1:11" ht="15" customHeight="1" x14ac:dyDescent="0.4">
      <c r="B75" s="104" t="s">
        <v>102</v>
      </c>
      <c r="C75" s="77">
        <f>Data!C8</f>
        <v>1510800</v>
      </c>
      <c r="D75" s="159">
        <f>C75/$C$74</f>
        <v>0.70410588619098657</v>
      </c>
      <c r="E75" s="238">
        <f>Inputs!E92</f>
        <v>1510800</v>
      </c>
      <c r="F75" s="160">
        <f>E75/E74</f>
        <v>0.70410588619098657</v>
      </c>
      <c r="H75" s="238">
        <f>Inputs!F92</f>
        <v>1510800</v>
      </c>
      <c r="I75" s="160">
        <f>H75/$H$74</f>
        <v>0.70410588619098657</v>
      </c>
      <c r="K75" s="24"/>
    </row>
    <row r="76" spans="1:11" ht="15" customHeight="1" x14ac:dyDescent="0.4">
      <c r="B76" s="35" t="s">
        <v>92</v>
      </c>
      <c r="C76" s="161">
        <f>C74-C75</f>
        <v>634900</v>
      </c>
      <c r="D76" s="210"/>
      <c r="E76" s="162">
        <f>E74-E75</f>
        <v>634900</v>
      </c>
      <c r="F76" s="210"/>
      <c r="H76" s="162">
        <f>H74-H75</f>
        <v>634900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438000</v>
      </c>
      <c r="D77" s="159">
        <f>C77/$C$74</f>
        <v>0.20412918860977769</v>
      </c>
      <c r="E77" s="238">
        <f>Inputs!E93</f>
        <v>438000</v>
      </c>
      <c r="F77" s="160">
        <f>E77/E74</f>
        <v>0.20412918860977769</v>
      </c>
      <c r="H77" s="238">
        <f>Inputs!F93</f>
        <v>438000</v>
      </c>
      <c r="I77" s="160">
        <f>H77/$H$74</f>
        <v>0.20412918860977769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196900</v>
      </c>
      <c r="D79" s="258">
        <f>C79/C74</f>
        <v>9.1764925199235681E-2</v>
      </c>
      <c r="E79" s="259">
        <f>E76-E77-E78</f>
        <v>196900</v>
      </c>
      <c r="F79" s="258">
        <f>E79/E74</f>
        <v>9.1764925199235681E-2</v>
      </c>
      <c r="G79" s="260"/>
      <c r="H79" s="259">
        <f>H76-H77-H78</f>
        <v>196900</v>
      </c>
      <c r="I79" s="258">
        <f>H79/H74</f>
        <v>9.1764925199235681E-2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4900</v>
      </c>
      <c r="D81" s="159">
        <f>C81/$C$74</f>
        <v>2.2836370415249105E-3</v>
      </c>
      <c r="E81" s="180">
        <f>E74*F81</f>
        <v>4900.0000000000009</v>
      </c>
      <c r="F81" s="160">
        <f>I81</f>
        <v>2.2836370415249105E-3</v>
      </c>
      <c r="H81" s="238">
        <f>Inputs!F94</f>
        <v>4900.0000000000009</v>
      </c>
      <c r="I81" s="160">
        <f>H81/$H$74</f>
        <v>2.2836370415249105E-3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23000</v>
      </c>
      <c r="D82" s="159">
        <f>C82/$C$74</f>
        <v>1.0719112643892435E-2</v>
      </c>
      <c r="E82" s="238">
        <f>Inputs!E95</f>
        <v>23000</v>
      </c>
      <c r="F82" s="160">
        <f>E82/E74</f>
        <v>1.0719112643892435E-2</v>
      </c>
      <c r="H82" s="238">
        <f>Inputs!F95</f>
        <v>23000</v>
      </c>
      <c r="I82" s="160">
        <f>H82/$H$74</f>
        <v>1.0719112643892435E-2</v>
      </c>
      <c r="K82" s="24"/>
    </row>
    <row r="83" spans="1:11" ht="15" customHeight="1" thickBot="1" x14ac:dyDescent="0.45">
      <c r="B83" s="105" t="s">
        <v>121</v>
      </c>
      <c r="C83" s="163">
        <f>C79-C81-C82-C80</f>
        <v>169000</v>
      </c>
      <c r="D83" s="164">
        <f>C83/$C$74</f>
        <v>7.8762175513818339E-2</v>
      </c>
      <c r="E83" s="165">
        <f>E79-E81-E82-E80</f>
        <v>169000</v>
      </c>
      <c r="F83" s="164">
        <f>E83/E74</f>
        <v>7.8762175513818339E-2</v>
      </c>
      <c r="H83" s="165">
        <f>H79-H81-H82-H80</f>
        <v>169000</v>
      </c>
      <c r="I83" s="164">
        <f>H83/$H$74</f>
        <v>7.8762175513818339E-2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0.23</v>
      </c>
      <c r="E84" s="212"/>
      <c r="F84" s="179">
        <f t="shared" ref="F84" si="3">I84</f>
        <v>0.23</v>
      </c>
      <c r="H84" s="212"/>
      <c r="I84" s="202">
        <f>Inputs!C16</f>
        <v>0.23</v>
      </c>
      <c r="K84" s="24"/>
    </row>
    <row r="85" spans="1:11" ht="15" customHeight="1" x14ac:dyDescent="0.4">
      <c r="B85" s="263" t="s">
        <v>159</v>
      </c>
      <c r="C85" s="257">
        <f>C83*(1-I84)</f>
        <v>130130</v>
      </c>
      <c r="D85" s="258">
        <f>C85/$C$74</f>
        <v>6.0646875145640121E-2</v>
      </c>
      <c r="E85" s="264">
        <f>E83*(1-F84)</f>
        <v>130130</v>
      </c>
      <c r="F85" s="258">
        <f>E85/E74</f>
        <v>6.0646875145640121E-2</v>
      </c>
      <c r="G85" s="260"/>
      <c r="H85" s="264">
        <f>H83*(1-I84)</f>
        <v>130130</v>
      </c>
      <c r="I85" s="258">
        <f>H85/$H$74</f>
        <v>6.0646875145640121E-2</v>
      </c>
      <c r="K85" s="24"/>
    </row>
    <row r="86" spans="1:11" ht="15" customHeight="1" x14ac:dyDescent="0.4">
      <c r="B86" s="87" t="s">
        <v>155</v>
      </c>
      <c r="C86" s="167">
        <f>C85*Data!C4/Common_Shares</f>
        <v>0.51420731741314341</v>
      </c>
      <c r="D86" s="209"/>
      <c r="E86" s="168">
        <f>E85*Data!C4/Common_Shares</f>
        <v>0.51420731741314341</v>
      </c>
      <c r="F86" s="209"/>
      <c r="H86" s="168">
        <f>H85*Data!C4/Common_Shares</f>
        <v>0.51420731741314341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7.7778393614451602E-2</v>
      </c>
      <c r="D87" s="209"/>
      <c r="E87" s="262">
        <f>E86*Exchange_Rate/Dashboard!G3</f>
        <v>7.7778393614451602E-2</v>
      </c>
      <c r="F87" s="209"/>
      <c r="H87" s="262">
        <f>H86*Exchange_Rate/Dashboard!G3</f>
        <v>7.7778393614451602E-2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0.58985854464659881</v>
      </c>
      <c r="D88" s="166">
        <f>C88/C86</f>
        <v>1.1471220355518064</v>
      </c>
      <c r="E88" s="170">
        <f>Inputs!E98</f>
        <v>0.58985854464659881</v>
      </c>
      <c r="F88" s="166">
        <f>E88/E86</f>
        <v>1.1471220355518064</v>
      </c>
      <c r="H88" s="170">
        <f>Inputs!F98</f>
        <v>0.58985854464659881</v>
      </c>
      <c r="I88" s="166">
        <f>H88/H86</f>
        <v>1.1471220355518064</v>
      </c>
      <c r="K88" s="24"/>
    </row>
    <row r="89" spans="1:11" ht="15" customHeight="1" x14ac:dyDescent="0.4">
      <c r="B89" s="87" t="s">
        <v>216</v>
      </c>
      <c r="C89" s="261">
        <f>C88*Exchange_Rate/Dashboard!G3</f>
        <v>8.922130920495934E-2</v>
      </c>
      <c r="D89" s="209"/>
      <c r="E89" s="261">
        <f>E88*Exchange_Rate/Dashboard!G3</f>
        <v>8.922130920495934E-2</v>
      </c>
      <c r="F89" s="209"/>
      <c r="H89" s="261">
        <f>H88*Exchange_Rate/Dashboard!G3</f>
        <v>8.922130920495934E-2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HK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204</v>
      </c>
      <c r="F93" s="144">
        <f>FV(E87,D93,0,-(E86/(C93-D94)))*Exchange_Rate</f>
        <v>95.899800022723738</v>
      </c>
      <c r="H93" s="87" t="s">
        <v>204</v>
      </c>
      <c r="I93" s="144">
        <f>FV(H87,D93,0,-(H86/(C93-D94)))*Exchange_Rate</f>
        <v>95.899800022723738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115.97399155833173</v>
      </c>
      <c r="H94" s="87" t="s">
        <v>205</v>
      </c>
      <c r="I94" s="144">
        <f>FV(H89,D93,0,-(H88/(C93-D94)))*Exchange_Rate</f>
        <v>115.97399155833173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12066121.0238791</v>
      </c>
      <c r="D97" s="213"/>
      <c r="E97" s="123">
        <f>PV(C94,D93,0,-F93)</f>
        <v>47.679149491056656</v>
      </c>
      <c r="F97" s="213"/>
      <c r="H97" s="123">
        <f>PV(C94,D93,0,-I93)</f>
        <v>47.679149491056656</v>
      </c>
      <c r="I97" s="123">
        <f>PV(C93,D93,0,-I93)</f>
        <v>65.079266356677536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12066121.0238791</v>
      </c>
      <c r="D100" s="109">
        <f>MIN(F100*(1-C94),E100)</f>
        <v>40.52727706739816</v>
      </c>
      <c r="E100" s="109">
        <f>MAX(E97+H98+E99,0)</f>
        <v>47.679149491056656</v>
      </c>
      <c r="F100" s="109">
        <f>(E100+H100)/2</f>
        <v>47.679149491056656</v>
      </c>
      <c r="H100" s="109">
        <f>MAX(C100*Data!$C$4/Common_Shares,0)</f>
        <v>47.679149491056656</v>
      </c>
      <c r="I100" s="109">
        <f>MAX(I97+H98+H99,0)</f>
        <v>65.079266356677536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14591857.516215697</v>
      </c>
      <c r="D103" s="109">
        <f>MIN(F103*(1-C94),E103)</f>
        <v>49.010634927110381</v>
      </c>
      <c r="E103" s="123">
        <f>PV(C94,D93,0,-F94)</f>
        <v>57.659570502482801</v>
      </c>
      <c r="F103" s="109">
        <f>(E103+H103)/2</f>
        <v>57.659570502482801</v>
      </c>
      <c r="H103" s="123">
        <f>PV(C94,D93,0,-I94)</f>
        <v>57.659570502482801</v>
      </c>
      <c r="I103" s="109">
        <f>PV(C93,D93,0,-I94)</f>
        <v>78.701960643122717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13328989.270047398</v>
      </c>
      <c r="D106" s="109">
        <f>(D100+D103)/2</f>
        <v>44.768955997254267</v>
      </c>
      <c r="E106" s="123">
        <f>(E100+E103)/2</f>
        <v>52.669359996769728</v>
      </c>
      <c r="F106" s="109">
        <f>(F100+F103)/2</f>
        <v>52.669359996769728</v>
      </c>
      <c r="H106" s="123">
        <f>(H100+H103)/2</f>
        <v>52.669359996769728</v>
      </c>
      <c r="I106" s="123">
        <f>(I100+I103)/2</f>
        <v>71.890613499900127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