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3CA8ABF6-985A-445A-AD77-ED4E02AF2787}" xr6:coauthVersionLast="47" xr6:coauthVersionMax="47" xr10:uidLastSave="{00000000-0000-0000-0000-000000000000}"/>
  <bookViews>
    <workbookView xWindow="-98" yWindow="-98" windowWidth="17115" windowHeight="10755" activeTab="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50" i="2" l="1"/>
  <c r="E50" i="2"/>
  <c r="F50" i="2"/>
  <c r="G50" i="2"/>
  <c r="H50" i="2"/>
  <c r="I50" i="2"/>
  <c r="J50" i="2"/>
  <c r="K50" i="2"/>
  <c r="L50" i="2"/>
  <c r="M50" i="2"/>
  <c r="C50" i="2"/>
  <c r="C59" i="2" s="1"/>
  <c r="F98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H44" i="4"/>
  <c r="G44" i="4"/>
  <c r="F44" i="4"/>
  <c r="E44" i="4"/>
  <c r="D44" i="4"/>
  <c r="C44" i="4"/>
  <c r="D39" i="4"/>
  <c r="B7" i="3"/>
  <c r="M53" i="2"/>
  <c r="F96" i="4" l="1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I27" i="2"/>
  <c r="I55" i="2"/>
  <c r="D55" i="2"/>
  <c r="M27" i="2"/>
  <c r="M55" i="2"/>
  <c r="I53" i="2"/>
  <c r="G53" i="2"/>
  <c r="E53" i="2"/>
  <c r="F53" i="2"/>
  <c r="J53" i="2"/>
  <c r="D53" i="2"/>
  <c r="H53" i="2"/>
  <c r="C53" i="2"/>
  <c r="K53" i="2"/>
  <c r="L53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55" i="2" l="1"/>
  <c r="E55" i="2"/>
  <c r="F22" i="2"/>
  <c r="F61" i="2" s="1"/>
  <c r="F60" i="2"/>
  <c r="K15" i="2"/>
  <c r="L60" i="2"/>
  <c r="L15" i="2"/>
  <c r="M60" i="2"/>
  <c r="D22" i="2"/>
  <c r="D61" i="2" s="1"/>
  <c r="D60" i="2"/>
  <c r="E22" i="2"/>
  <c r="E61" i="2" s="1"/>
  <c r="E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G57" i="2"/>
  <c r="D15" i="2"/>
  <c r="E15" i="2"/>
  <c r="K13" i="2"/>
  <c r="E13" i="2"/>
  <c r="L13" i="2"/>
  <c r="L59" i="2" s="1"/>
  <c r="E40" i="2"/>
  <c r="G13" i="2"/>
  <c r="D40" i="2"/>
  <c r="D13" i="2"/>
  <c r="G40" i="2"/>
  <c r="K56" i="2"/>
  <c r="L24" i="2"/>
  <c r="L23" i="2" s="1"/>
  <c r="M57" i="2"/>
  <c r="M56" i="2"/>
  <c r="G59" i="2" l="1"/>
  <c r="E59" i="2"/>
  <c r="M59" i="2"/>
  <c r="K59" i="2"/>
  <c r="E57" i="2"/>
  <c r="D59" i="2"/>
  <c r="D56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60" i="2"/>
  <c r="C61" i="2"/>
  <c r="E99" i="3"/>
  <c r="G23" i="1"/>
  <c r="E53" i="3" s="1"/>
  <c r="C27" i="2"/>
  <c r="C55" i="2" s="1"/>
  <c r="C37" i="2"/>
  <c r="C98" i="3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<sst xmlns="http://schemas.openxmlformats.org/spreadsheetml/2006/main" count="393" uniqueCount="275">
  <si>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</si>
  <si>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</si>
  <si>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</si>
  <si>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</si>
  <si>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</si>
  <si>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</si>
  <si>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</si>
  <si>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</si>
  <si>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</si>
  <si>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</si>
  <si>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</si>
  <si>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</si>
  <si>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</si>
  <si>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</si>
  <si>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</si>
  <si>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</si>
  <si>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</si>
  <si>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</si>
  <si>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</si>
  <si>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</si>
  <si>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</si>
  <si>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</si>
  <si>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</si>
  <si>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</si>
  <si>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</si>
  <si>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</si>
  <si>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</si>
  <si>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</si>
  <si>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</si>
  <si>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</si>
  <si>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</si>
  <si>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</si>
  <si>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</si>
  <si>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</si>
  <si>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</si>
  <si>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</si>
  <si>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</si>
  <si>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</si>
  <si>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</si>
  <si>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</si>
  <si>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</si>
  <si>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</si>
  <si>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</si>
  <si>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</si>
  <si>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</si>
  <si>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</si>
  <si>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</si>
  <si>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</si>
  <si>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</si>
  <si>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</si>
  <si>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</si>
  <si>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</si>
  <si>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</si>
  <si>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</si>
  <si>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</si>
  <si>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</si>
  <si>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</si>
  <si>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</si>
  <si>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</si>
  <si>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</si>
  <si>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</si>
  <si>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</si>
  <si>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</si>
  <si>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</si>
  <si>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</si>
  <si>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</si>
  <si>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</si>
  <si>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</si>
  <si>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</si>
  <si>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</si>
  <si>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</si>
  <si>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</si>
  <si>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</si>
  <si>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</si>
  <si>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</si>
  <si>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</si>
  <si>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</si>
  <si>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</si>
  <si>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</si>
  <si>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</si>
  <si>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</si>
  <si>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</si>
  <si>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</si>
  <si>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</si>
  <si>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</si>
  <si>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</si>
  <si>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</si>
  <si>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</si>
  <si>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</si>
  <si>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</si>
  <si>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</si>
  <si>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</si>
  <si>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</si>
  <si>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</si>
  <si>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</si>
  <si>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</si>
  <si>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</si>
  <si>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</si>
  <si>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</si>
  <si>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</si>
  <si>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</si>
  <si>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</si>
  <si>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</si>
  <si>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</si>
  <si>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</si>
  <si>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</si>
  <si>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</si>
  <si>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</si>
  <si>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</si>
  <si>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</si>
  <si>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</si>
  <si>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</si>
  <si>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</si>
  <si>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</si>
  <si>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</si>
  <si>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</si>
  <si>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</si>
  <si>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</si>
  <si>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</si>
  <si>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</si>
  <si>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</si>
  <si>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</si>
  <si>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</si>
  <si>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</si>
  <si>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</si>
  <si>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</si>
  <si>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</si>
  <si>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</si>
  <si>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</si>
  <si>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</si>
  <si>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</si>
  <si>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</si>
  <si>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</si>
  <si>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</si>
  <si>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</si>
  <si>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</si>
  <si>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</si>
  <si>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</si>
  <si>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</si>
  <si>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</si>
  <si>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</si>
  <si>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</si>
  <si>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</si>
  <si>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</si>
  <si>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</si>
  <si>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</si>
  <si>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</si>
  <si>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</si>
  <si>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</si>
  <si>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</si>
  <si>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</si>
  <si>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</si>
  <si>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</si>
  <si>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</si>
  <si>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</si>
  <si>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</si>
  <si>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</si>
  <si>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</si>
  <si>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</si>
  <si>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</si>
  <si>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</si>
  <si>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</si>
  <si>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</si>
  <si>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</si>
  <si>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</si>
  <si>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</si>
  <si>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</si>
  <si>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</si>
  <si>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</si>
  <si>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</si>
  <si>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</si>
  <si>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</si>
  <si>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</si>
  <si>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</si>
  <si>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</si>
  <si>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</si>
  <si>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</si>
  <si>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</si>
  <si>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</si>
  <si>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</si>
  <si>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</si>
  <si>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</si>
  <si>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</si>
  <si>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</si>
  <si>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</si>
  <si>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</si>
  <si>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</si>
  <si>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</si>
  <si>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</si>
  <si>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</si>
  <si>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</si>
  <si>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</si>
  <si>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</si>
  <si>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</si>
  <si>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</si>
  <si>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</si>
  <si>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</si>
  <si>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</si>
  <si>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</si>
  <si>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</si>
  <si>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</si>
  <si>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</si>
  <si>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</si>
  <si>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</si>
  <si>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</si>
  <si>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</si>
  <si>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</si>
  <si>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</si>
  <si>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</si>
  <si>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</si>
  <si>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</si>
  <si>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</si>
  <si>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</si>
  <si>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</si>
  <si>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</si>
  <si>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</si>
  <si>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</si>
  <si>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</si>
  <si>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</si>
  <si>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</si>
  <si>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</si>
  <si>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</si>
  <si>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</si>
  <si>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</si>
  <si>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</si>
  <si>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</si>
  <si>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</si>
  <si>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</si>
  <si>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</si>
  <si>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</si>
  <si>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</si>
  <si>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</si>
  <si>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</si>
  <si>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</si>
  <si>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</si>
  <si>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</si>
  <si>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</si>
  <si>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</si>
  <si>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</si>
  <si>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</si>
  <si>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</si>
  <si>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</si>
  <si>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</si>
  <si>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</si>
  <si>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</si>
  <si>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</si>
  <si>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</si>
  <si>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</si>
  <si>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</si>
  <si>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</si>
  <si>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</si>
  <si>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</si>
  <si>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</si>
  <si>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</si>
  <si>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</si>
  <si>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</si>
  <si>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</si>
  <si>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</si>
  <si>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</si>
  <si>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</si>
  <si>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</si>
  <si>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</si>
  <si>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</si>
  <si>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</si>
  <si>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</si>
  <si>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</si>
  <si>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</si>
  <si>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</si>
  <si>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</si>
  <si>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六福珠宝</t>
  </si>
  <si>
    <t xml:space="preserve">Superior Cycl. 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</si>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</sst>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0.72762956087193753</c:v>
                </c:pt>
                <c:pt idx="1">
                  <c:v>0.16539999999999999</c:v>
                </c:pt>
                <c:pt idx="2">
                  <c:v>0</c:v>
                </c:pt>
                <c:pt idx="3">
                  <c:v>1.9999999999999997E-2</c:v>
                </c:pt>
                <c:pt idx="4">
                  <c:v>3.8885650375487034E-3</c:v>
                </c:pt>
                <c:pt idx="5">
                  <c:v>9.9999999999999985E-3</c:v>
                </c:pt>
                <c:pt idx="6">
                  <c:v>7.3081874090513838E-2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239</v>
      </c>
    </row>
    <row r="5" spans="1:5" ht="13.9" x14ac:dyDescent="0.4">
      <c r="B5" s="141" t="s">
        <v>191</v>
      </c>
      <c r="C5" s="191" t="s">
        <v>269</v>
      </c>
    </row>
    <row r="6" spans="1:5" ht="13.9" x14ac:dyDescent="0.4">
      <c r="B6" s="141" t="s">
        <v>159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270</v>
      </c>
      <c r="E8" s="267"/>
    </row>
    <row r="9" spans="1:5" ht="13.9" x14ac:dyDescent="0.4">
      <c r="B9" s="140" t="s">
        <v>212</v>
      </c>
      <c r="C9" s="192" t="s">
        <v>240</v>
      </c>
    </row>
    <row r="10" spans="1:5" ht="13.9" x14ac:dyDescent="0.4">
      <c r="B10" s="140" t="s">
        <v>213</v>
      </c>
      <c r="C10" s="193">
        <v>587107850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215</v>
      </c>
      <c r="C14" s="219">
        <v>45382</v>
      </c>
    </row>
    <row r="15" spans="1:5" ht="13.9" x14ac:dyDescent="0.4">
      <c r="B15" s="218" t="s">
        <v>253</v>
      </c>
      <c r="C15" s="176" t="s">
        <v>185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220</v>
      </c>
      <c r="C17" s="242" t="s">
        <v>271</v>
      </c>
      <c r="D17" s="24"/>
    </row>
    <row r="18" spans="2:13" ht="13.9" x14ac:dyDescent="0.4">
      <c r="B18" s="240" t="s">
        <v>234</v>
      </c>
      <c r="C18" s="242" t="s">
        <v>243</v>
      </c>
      <c r="D18" s="24"/>
    </row>
    <row r="19" spans="2:13" ht="13.9" x14ac:dyDescent="0.4">
      <c r="B19" s="240" t="s">
        <v>235</v>
      </c>
      <c r="C19" s="242" t="s">
        <v>272</v>
      </c>
      <c r="D19" s="24"/>
    </row>
    <row r="20" spans="2:13" ht="13.9" x14ac:dyDescent="0.4">
      <c r="B20" s="241" t="s">
        <v>224</v>
      </c>
      <c r="C20" s="242" t="s">
        <v>272</v>
      </c>
      <c r="D20" s="24"/>
    </row>
    <row r="21" spans="2:13" ht="13.9" x14ac:dyDescent="0.4">
      <c r="B21" s="224" t="s">
        <v>227</v>
      </c>
      <c r="C21" s="242" t="s">
        <v>271</v>
      </c>
      <c r="D21" s="24"/>
    </row>
    <row r="22" spans="2:13" ht="78.75" x14ac:dyDescent="0.4">
      <c r="B22" s="226" t="s">
        <v>226</v>
      </c>
      <c r="C22" s="243" t="s">
        <v>273</v>
      </c>
      <c r="D22" s="24"/>
    </row>
    <row r="24" spans="2:13" ht="13.9" x14ac:dyDescent="0.4">
      <c r="B24" s="115" t="s">
        <v>130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15325962</v>
      </c>
      <c r="D25" s="149">
        <v>11977844</v>
      </c>
      <c r="E25" s="149">
        <v>11737803</v>
      </c>
      <c r="F25" s="149">
        <v>8861335</v>
      </c>
      <c r="G25" s="149">
        <v>11233771</v>
      </c>
      <c r="H25" s="149">
        <v>15859990</v>
      </c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11151623</v>
      </c>
      <c r="D26" s="150">
        <v>8747447</v>
      </c>
      <c r="E26" s="150">
        <v>8503976</v>
      </c>
      <c r="F26" s="150">
        <v>6229020</v>
      </c>
      <c r="G26" s="150">
        <v>7910751</v>
      </c>
      <c r="H26" s="150">
        <v>11826154</v>
      </c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2297566</v>
      </c>
      <c r="D27" s="150">
        <v>1867515</v>
      </c>
      <c r="E27" s="150">
        <v>1815111</v>
      </c>
      <c r="F27" s="150">
        <v>1694480</v>
      </c>
      <c r="G27" s="150">
        <v>2118252</v>
      </c>
      <c r="H27" s="150">
        <v>2416769</v>
      </c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254</v>
      </c>
      <c r="C29" s="150">
        <v>59596</v>
      </c>
      <c r="D29" s="150">
        <v>20763</v>
      </c>
      <c r="E29" s="150">
        <v>23097</v>
      </c>
      <c r="F29" s="150">
        <v>28849</v>
      </c>
      <c r="G29" s="150">
        <v>63075</v>
      </c>
      <c r="H29" s="150">
        <v>34253</v>
      </c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-9467</v>
      </c>
      <c r="D30" s="150">
        <v>-30</v>
      </c>
      <c r="E30" s="150">
        <v>-27</v>
      </c>
      <c r="F30" s="150">
        <v>1799</v>
      </c>
      <c r="G30" s="150">
        <v>1337</v>
      </c>
      <c r="H30" s="150">
        <v>10908</v>
      </c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>
        <v>626583</v>
      </c>
      <c r="D31" s="150">
        <v>352099</v>
      </c>
      <c r="E31" s="150">
        <v>1045251</v>
      </c>
      <c r="F31" s="150">
        <v>-818677</v>
      </c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>
        <v>456554</v>
      </c>
      <c r="D32" s="150">
        <v>373191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>
        <v>676387</v>
      </c>
      <c r="D33" s="150">
        <v>107280</v>
      </c>
      <c r="E33" s="150">
        <v>455483</v>
      </c>
      <c r="F33" s="150">
        <v>138937</v>
      </c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11972903</v>
      </c>
      <c r="E34" s="150">
        <v>13002006</v>
      </c>
      <c r="F34" s="150">
        <v>11732726</v>
      </c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>
        <v>213823</v>
      </c>
      <c r="E35" s="150">
        <v>187711</v>
      </c>
      <c r="F35" s="150">
        <v>277338</v>
      </c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145</v>
      </c>
      <c r="C36" s="217"/>
      <c r="D36" s="150">
        <v>8852611</v>
      </c>
      <c r="E36" s="150">
        <v>8769304</v>
      </c>
      <c r="F36" s="150">
        <v>7321614</v>
      </c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2466431</v>
      </c>
      <c r="E37" s="150">
        <v>3908586</v>
      </c>
      <c r="F37" s="150">
        <v>2946772</v>
      </c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>
        <v>241133</v>
      </c>
      <c r="E38" s="150">
        <v>233155</v>
      </c>
      <c r="F38" s="150">
        <v>241043</v>
      </c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f>35175+1000000</f>
        <v>1035175</v>
      </c>
      <c r="E39" s="150">
        <v>1587989</v>
      </c>
      <c r="F39" s="150">
        <v>1050082</v>
      </c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67759</v>
      </c>
      <c r="E40" s="150">
        <v>153013</v>
      </c>
      <c r="F40" s="150">
        <v>81854</v>
      </c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>
        <v>12220942</v>
      </c>
      <c r="E41" s="150">
        <v>12078528</v>
      </c>
      <c r="F41" s="150">
        <v>11324224</v>
      </c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260</v>
      </c>
      <c r="C42" s="217"/>
      <c r="D42" s="150">
        <v>-498</v>
      </c>
      <c r="E42" s="150">
        <v>468</v>
      </c>
      <c r="F42" s="150">
        <v>411</v>
      </c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>
        <v>3475378</v>
      </c>
      <c r="E43" s="150">
        <v>4499643</v>
      </c>
      <c r="F43" s="150">
        <v>4455433</v>
      </c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f>0.72+0.64</f>
        <v>1.3599999999999999</v>
      </c>
      <c r="D44" s="250">
        <f>0.55+0.55</f>
        <v>1.1000000000000001</v>
      </c>
      <c r="E44" s="250">
        <f>0.55+0.55</f>
        <v>1.1000000000000001</v>
      </c>
      <c r="F44" s="250">
        <f>0.5+0.5</f>
        <v>1</v>
      </c>
      <c r="G44" s="250">
        <f>0.5+0.5</f>
        <v>1</v>
      </c>
      <c r="H44" s="250">
        <f>0.6+0.55</f>
        <v>1.1499999999999999</v>
      </c>
      <c r="I44" s="250"/>
      <c r="J44" s="250"/>
      <c r="K44" s="250"/>
      <c r="L44" s="250"/>
      <c r="M44" s="250"/>
    </row>
    <row r="45" spans="2:13" ht="13.9" x14ac:dyDescent="0.4">
      <c r="B45" s="74" t="s">
        <v>250</v>
      </c>
      <c r="C45" s="152">
        <f>IF(C44="","",C44*Exchange_Rate/Dashboard!$G$3)</f>
        <v>9.855072463768115E-2</v>
      </c>
      <c r="D45" s="152">
        <f>IF(D44="","",D44*Exchange_Rate/Dashboard!$G$3)</f>
        <v>7.9710144927536239E-2</v>
      </c>
      <c r="E45" s="152">
        <f>IF(E44="","",E44*Exchange_Rate/Dashboard!$G$3)</f>
        <v>7.9710144927536239E-2</v>
      </c>
      <c r="F45" s="152">
        <f>IF(F44="","",F44*Exchange_Rate/Dashboard!$G$3)</f>
        <v>7.2463768115942032E-2</v>
      </c>
      <c r="G45" s="152">
        <f>IF(G44="","",G44*Exchange_Rate/Dashboard!$G$3)</f>
        <v>7.2463768115942032E-2</v>
      </c>
      <c r="H45" s="152">
        <f>IF(H44="","",H44*Exchange_Rate/Dashboard!$G$3)</f>
        <v>8.3333333333333329E-2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247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>
        <v>1998219</v>
      </c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154</v>
      </c>
      <c r="C53" s="59"/>
      <c r="D53" s="60">
        <f>D50</f>
        <v>0.6</v>
      </c>
      <c r="E53" s="112"/>
    </row>
    <row r="54" spans="2:5" ht="13.9" x14ac:dyDescent="0.4">
      <c r="B54" s="3" t="s">
        <v>258</v>
      </c>
      <c r="C54" s="59">
        <v>366595</v>
      </c>
      <c r="D54" s="60">
        <v>0.1</v>
      </c>
      <c r="E54" s="112"/>
    </row>
    <row r="55" spans="2:5" ht="13.9" x14ac:dyDescent="0.4">
      <c r="B55" s="3" t="s">
        <v>44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155</v>
      </c>
      <c r="C63" s="59"/>
      <c r="D63" s="60">
        <f>D62</f>
        <v>0.5</v>
      </c>
      <c r="E63" s="112"/>
    </row>
    <row r="64" spans="2:5" ht="13.9" x14ac:dyDescent="0.4">
      <c r="B64" s="3" t="s">
        <v>257</v>
      </c>
      <c r="C64" s="59">
        <v>103050</v>
      </c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>
        <v>925726</v>
      </c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538321</v>
      </c>
      <c r="D70" s="60">
        <v>0.05</v>
      </c>
      <c r="E70" s="112"/>
    </row>
    <row r="71" spans="2:5" ht="13.9" x14ac:dyDescent="0.4">
      <c r="B71" s="3" t="s">
        <v>72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277674</v>
      </c>
      <c r="D72" s="248">
        <v>0</v>
      </c>
      <c r="E72" s="249"/>
    </row>
    <row r="73" spans="2:5" ht="13.9" x14ac:dyDescent="0.4">
      <c r="B73" s="3" t="s">
        <v>36</v>
      </c>
      <c r="C73" s="59">
        <v>1427805</v>
      </c>
    </row>
    <row r="74" spans="2:5" ht="13.9" x14ac:dyDescent="0.4">
      <c r="B74" s="3" t="s">
        <v>37</v>
      </c>
      <c r="C74" s="59">
        <v>287697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>
        <v>319420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>
        <v>473357</v>
      </c>
    </row>
    <row r="83" spans="2:8" ht="14.25" thickTop="1" x14ac:dyDescent="0.4">
      <c r="B83" s="73" t="s">
        <v>216</v>
      </c>
      <c r="C83" s="59">
        <v>12890860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248</v>
      </c>
      <c r="C86" s="197">
        <v>5</v>
      </c>
    </row>
    <row r="87" spans="2:8" ht="13.9" x14ac:dyDescent="0.4">
      <c r="B87" s="10" t="s">
        <v>246</v>
      </c>
      <c r="C87" s="236" t="s">
        <v>249</v>
      </c>
      <c r="D87" s="269">
        <v>0.02</v>
      </c>
    </row>
    <row r="89" spans="2:8" ht="13.5" x14ac:dyDescent="0.35">
      <c r="B89" s="106" t="s">
        <v>124</v>
      </c>
      <c r="C89" s="275">
        <f>C24</f>
        <v>45382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15325962</v>
      </c>
      <c r="D91" s="209"/>
      <c r="E91" s="251">
        <f>C91*0.8</f>
        <v>12260769.600000001</v>
      </c>
      <c r="F91" s="251">
        <f>C91*0.9</f>
        <v>13793365.800000001</v>
      </c>
    </row>
    <row r="92" spans="2:8" ht="13.9" x14ac:dyDescent="0.4">
      <c r="B92" s="104" t="s">
        <v>103</v>
      </c>
      <c r="C92" s="77">
        <f>C26</f>
        <v>11151623</v>
      </c>
      <c r="D92" s="159">
        <f>C92/C91</f>
        <v>0.72762956087193742</v>
      </c>
      <c r="E92" s="252">
        <f>E91*D92</f>
        <v>8921298.4000000004</v>
      </c>
      <c r="F92" s="252">
        <f>F91*D92</f>
        <v>10036460.700000001</v>
      </c>
    </row>
    <row r="93" spans="2:8" ht="13.9" x14ac:dyDescent="0.4">
      <c r="B93" s="104" t="s">
        <v>245</v>
      </c>
      <c r="C93" s="77">
        <f>C27+C28</f>
        <v>2297566</v>
      </c>
      <c r="D93" s="159">
        <f>C93/C91</f>
        <v>0.14991333007350532</v>
      </c>
      <c r="E93" s="252">
        <f>E91*16.54%</f>
        <v>2027931.2918400001</v>
      </c>
      <c r="F93" s="252">
        <f>F91*16.54%</f>
        <v>2281422.7033199999</v>
      </c>
    </row>
    <row r="94" spans="2:8" ht="13.9" x14ac:dyDescent="0.4">
      <c r="B94" s="104" t="s">
        <v>254</v>
      </c>
      <c r="C94" s="77">
        <f>C29</f>
        <v>59596</v>
      </c>
      <c r="D94" s="159">
        <f>C94/C91</f>
        <v>3.8885650375487034E-3</v>
      </c>
      <c r="E94" s="253"/>
      <c r="F94" s="252">
        <f>F91*D94</f>
        <v>53636.4</v>
      </c>
    </row>
    <row r="95" spans="2:8" ht="13.9" x14ac:dyDescent="0.4">
      <c r="B95" s="28" t="s">
        <v>244</v>
      </c>
      <c r="C95" s="77">
        <f>ABS(MAX(C33,0)-C32)</f>
        <v>219833</v>
      </c>
      <c r="D95" s="159">
        <f>C95/C91</f>
        <v>1.4343830423173436E-2</v>
      </c>
      <c r="E95" s="252">
        <f>E91*0.01</f>
        <v>122607.69600000001</v>
      </c>
      <c r="F95" s="252">
        <f>F91*0.01</f>
        <v>137933.658</v>
      </c>
    </row>
    <row r="96" spans="2:8" ht="13.9" x14ac:dyDescent="0.4">
      <c r="B96" s="28" t="s">
        <v>107</v>
      </c>
      <c r="C96" s="77">
        <f>MAX(C31,0)</f>
        <v>626583</v>
      </c>
      <c r="D96" s="159">
        <f>C96/C91</f>
        <v>4.0883763120383568E-2</v>
      </c>
      <c r="E96" s="253"/>
      <c r="F96" s="252">
        <f>F91*2%</f>
        <v>275867.31599999999</v>
      </c>
    </row>
    <row r="97" spans="2:7" ht="13.9" x14ac:dyDescent="0.4">
      <c r="B97" s="73" t="s">
        <v>168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203</v>
      </c>
      <c r="C98" s="237">
        <f>C44</f>
        <v>1.3599999999999999</v>
      </c>
      <c r="D98" s="266"/>
      <c r="E98" s="254">
        <v>1</v>
      </c>
      <c r="F98" s="254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0590.HK</v>
      </c>
      <c r="D3" s="282"/>
      <c r="E3" s="87"/>
      <c r="F3" s="3" t="s">
        <v>1</v>
      </c>
      <c r="G3" s="132">
        <v>13.8</v>
      </c>
      <c r="H3" s="134" t="s">
        <v>274</v>
      </c>
    </row>
    <row r="4" spans="1:10" ht="15.75" customHeight="1" x14ac:dyDescent="0.4">
      <c r="B4" s="35" t="s">
        <v>191</v>
      </c>
      <c r="C4" s="283" t="str">
        <f>Inputs!C5</f>
        <v>六福珠宝</v>
      </c>
      <c r="D4" s="284"/>
      <c r="E4" s="87"/>
      <c r="F4" s="3" t="s">
        <v>3</v>
      </c>
      <c r="G4" s="287">
        <f>Inputs!C10</f>
        <v>587107850</v>
      </c>
      <c r="H4" s="287"/>
      <c r="I4" s="39"/>
    </row>
    <row r="5" spans="1:10" ht="15.75" customHeight="1" x14ac:dyDescent="0.4">
      <c r="B5" s="3" t="s">
        <v>159</v>
      </c>
      <c r="C5" s="285">
        <f>Inputs!C6</f>
        <v>45593</v>
      </c>
      <c r="D5" s="286"/>
      <c r="E5" s="34"/>
      <c r="F5" s="35" t="s">
        <v>97</v>
      </c>
      <c r="G5" s="279">
        <f>G3*G4/1000000</f>
        <v>8102.0883299999996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251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HK</v>
      </c>
      <c r="F16" s="110" t="s">
        <v>174</v>
      </c>
    </row>
    <row r="17" spans="1:8" ht="15.75" customHeight="1" thickTop="1" x14ac:dyDescent="0.4">
      <c r="B17" s="87" t="s">
        <v>252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0.72762956087193753</v>
      </c>
      <c r="F20" s="87" t="s">
        <v>207</v>
      </c>
      <c r="G20" s="172">
        <v>0.15</v>
      </c>
    </row>
    <row r="21" spans="1:8" ht="15.75" customHeight="1" x14ac:dyDescent="0.4">
      <c r="B21" s="137" t="s">
        <v>242</v>
      </c>
      <c r="C21" s="171">
        <f>Fin_Analysis!I77</f>
        <v>0.16539999999999999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0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1.9999999999999997E-2</v>
      </c>
      <c r="F23" s="140" t="s">
        <v>184</v>
      </c>
      <c r="G23" s="177">
        <f>G3/(Data!C36*Data!C4/Common_Shares*Exchange_Rate)</f>
        <v>0.62983151219016198</v>
      </c>
    </row>
    <row r="24" spans="1:8" ht="15.75" customHeight="1" x14ac:dyDescent="0.4">
      <c r="B24" s="137" t="s">
        <v>166</v>
      </c>
      <c r="C24" s="171">
        <f>Fin_Analysis!I81</f>
        <v>3.8885650375487034E-3</v>
      </c>
      <c r="F24" s="140" t="s">
        <v>256</v>
      </c>
      <c r="G24" s="268">
        <f>G3/(Fin_Analysis!H86*G7)</f>
        <v>10.716569396156132</v>
      </c>
    </row>
    <row r="25" spans="1:8" ht="15.75" customHeight="1" x14ac:dyDescent="0.4">
      <c r="B25" s="137" t="s">
        <v>241</v>
      </c>
      <c r="C25" s="171">
        <f>Fin_Analysis!I82</f>
        <v>9.9999999999999985E-3</v>
      </c>
      <c r="F25" s="140" t="s">
        <v>170</v>
      </c>
      <c r="G25" s="171">
        <f>Fin_Analysis!I88</f>
        <v>0.85421929969360477</v>
      </c>
    </row>
    <row r="26" spans="1:8" ht="15.75" customHeight="1" x14ac:dyDescent="0.4">
      <c r="B26" s="138" t="s">
        <v>169</v>
      </c>
      <c r="C26" s="171">
        <f>Fin_Analysis!I83</f>
        <v>7.3081874090513838E-2</v>
      </c>
      <c r="F26" s="141" t="s">
        <v>189</v>
      </c>
      <c r="G26" s="178">
        <f>Fin_Analysis!H88*Exchange_Rate/G3</f>
        <v>7.9710144927536239E-2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255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12.873528678401001</v>
      </c>
      <c r="D29" s="129">
        <f>G29*(1+G20)</f>
        <v>25.794471219186686</v>
      </c>
      <c r="E29" s="87"/>
      <c r="F29" s="131">
        <f>IF(Fin_Analysis!C108="Profit",Fin_Analysis!F100,IF(Fin_Analysis!C108="Dividend",Fin_Analysis!F103,Fin_Analysis!F106))</f>
        <v>15.145327856942355</v>
      </c>
      <c r="G29" s="278">
        <f>IF(Fin_Analysis!C108="Profit",Fin_Analysis!I100,IF(Fin_Analysis!C108="Dividend",Fin_Analysis!I103,Fin_Analysis!I106))</f>
        <v>22.429974973205816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Strongly agree</v>
      </c>
    </row>
    <row r="34" spans="1:3" ht="15.75" customHeight="1" x14ac:dyDescent="0.4">
      <c r="A34"/>
      <c r="B34" s="19" t="s">
        <v>221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agree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unclear</v>
      </c>
    </row>
    <row r="37" spans="1:3" ht="15.75" customHeight="1" x14ac:dyDescent="0.4">
      <c r="A37"/>
      <c r="B37" s="20" t="s">
        <v>235</v>
      </c>
      <c r="C37" s="245" t="str">
        <f>Inputs!C19</f>
        <v>agree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agree</v>
      </c>
    </row>
    <row r="40" spans="1:3" ht="15.75" customHeight="1" x14ac:dyDescent="0.4">
      <c r="A40"/>
      <c r="B40" s="1" t="s">
        <v>227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tabSelected="1" topLeftCell="A48" zoomScaleNormal="100" workbookViewId="0">
      <pane xSplit="2" topLeftCell="C1" activePane="topRight" state="frozen"/>
      <selection activeCell="A4" sqref="A4"/>
      <selection pane="topRight" activeCell="C50" sqref="C5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196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197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130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15325962</v>
      </c>
      <c r="D6" s="200">
        <f>IF(Inputs!D25="","",Inputs!D25)</f>
        <v>11977844</v>
      </c>
      <c r="E6" s="200">
        <f>IF(Inputs!E25="","",Inputs!E25)</f>
        <v>11737803</v>
      </c>
      <c r="F6" s="200">
        <f>IF(Inputs!F25="","",Inputs!F25)</f>
        <v>8861335</v>
      </c>
      <c r="G6" s="200">
        <f>IF(Inputs!G25="","",Inputs!G25)</f>
        <v>11233771</v>
      </c>
      <c r="H6" s="200">
        <f>IF(Inputs!H25="","",Inputs!H25)</f>
        <v>15859990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11151623</v>
      </c>
      <c r="D8" s="199">
        <f>IF(Inputs!D26="","",Inputs!D26)</f>
        <v>8747447</v>
      </c>
      <c r="E8" s="199">
        <f>IF(Inputs!E26="","",Inputs!E26)</f>
        <v>8503976</v>
      </c>
      <c r="F8" s="199">
        <f>IF(Inputs!F26="","",Inputs!F26)</f>
        <v>6229020</v>
      </c>
      <c r="G8" s="199">
        <f>IF(Inputs!G26="","",Inputs!G26)</f>
        <v>7910751</v>
      </c>
      <c r="H8" s="199">
        <f>IF(Inputs!H26="","",Inputs!H26)</f>
        <v>11826154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4174339</v>
      </c>
      <c r="D9" s="151">
        <f t="shared" si="2"/>
        <v>3230397</v>
      </c>
      <c r="E9" s="151">
        <f t="shared" si="2"/>
        <v>3233827</v>
      </c>
      <c r="F9" s="151">
        <f t="shared" si="2"/>
        <v>2632315</v>
      </c>
      <c r="G9" s="151">
        <f t="shared" si="2"/>
        <v>3323020</v>
      </c>
      <c r="H9" s="151">
        <f t="shared" si="2"/>
        <v>4033836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2297566</v>
      </c>
      <c r="D10" s="199">
        <f>IF(Inputs!D27="","",Inputs!D27)</f>
        <v>1867515</v>
      </c>
      <c r="E10" s="199">
        <f>IF(Inputs!E27="","",Inputs!E27)</f>
        <v>1815111</v>
      </c>
      <c r="F10" s="199">
        <f>IF(Inputs!F27="","",Inputs!F27)</f>
        <v>1694480</v>
      </c>
      <c r="G10" s="199">
        <f>IF(Inputs!G27="","",Inputs!G27)</f>
        <v>2118252</v>
      </c>
      <c r="H10" s="199">
        <f>IF(Inputs!H27="","",Inputs!H27)</f>
        <v>2416769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2398.6666666666665</v>
      </c>
      <c r="G12" s="199">
        <f>IF(Inputs!G30="","",MAX(Inputs!G30,0)/(1-Fin_Analysis!$I$84))</f>
        <v>1782.6666666666667</v>
      </c>
      <c r="H12" s="199">
        <f>IF(Inputs!H30="","",MAX(Inputs!H30,0)/(1-Fin_Analysis!$I$84))</f>
        <v>14544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0.12245710905455723</v>
      </c>
      <c r="D13" s="229">
        <f t="shared" si="3"/>
        <v>0.11378358242100998</v>
      </c>
      <c r="E13" s="229">
        <f t="shared" si="3"/>
        <v>0.12086725258551366</v>
      </c>
      <c r="F13" s="229">
        <f t="shared" si="3"/>
        <v>0.10556381553494291</v>
      </c>
      <c r="G13" s="229">
        <f t="shared" si="3"/>
        <v>0.10708651024961549</v>
      </c>
      <c r="H13" s="229">
        <f t="shared" si="3"/>
        <v>0.10104186698730579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1876773</v>
      </c>
      <c r="D14" s="230">
        <f t="shared" ref="D14:M14" si="4">IF(D6="","",D9-D10-MAX(D11,0)-MAX(D12,0))</f>
        <v>1362882</v>
      </c>
      <c r="E14" s="230">
        <f t="shared" si="4"/>
        <v>1418716</v>
      </c>
      <c r="F14" s="230">
        <f t="shared" si="4"/>
        <v>935436.33333333337</v>
      </c>
      <c r="G14" s="230">
        <f t="shared" si="4"/>
        <v>1202985.3333333333</v>
      </c>
      <c r="H14" s="230">
        <f t="shared" si="4"/>
        <v>1602523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>
        <f>IF(D14="","",IF(ABS(C14+D14)=ABS(C14)+ABS(D14),IF(C14&lt;0,-1,1)*(C14-D14)/D14,"Turn"))</f>
        <v>0.37706199069325153</v>
      </c>
      <c r="D15" s="232">
        <f t="shared" ref="D15:M15" si="5">IF(E14="","",IF(ABS(D14+E14)=ABS(D14)+ABS(E14),IF(D14&lt;0,-1,1)*(D14-E14)/E14,"Turn"))</f>
        <v>-3.9355304373814071E-2</v>
      </c>
      <c r="E15" s="232">
        <f t="shared" si="5"/>
        <v>0.51663555225030455</v>
      </c>
      <c r="F15" s="232">
        <f t="shared" si="5"/>
        <v>-0.22240420775426459</v>
      </c>
      <c r="G15" s="232">
        <f t="shared" si="5"/>
        <v>-0.24931789850546091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>
        <f>IF(Inputs!C31="","",Inputs!C31)</f>
        <v>626583</v>
      </c>
      <c r="D16" s="199">
        <f>IF(Inputs!D31="","",Inputs!D31)</f>
        <v>352099</v>
      </c>
      <c r="E16" s="199">
        <f>IF(Inputs!E31="","",Inputs!E31)</f>
        <v>1045251</v>
      </c>
      <c r="F16" s="199">
        <f>IF(Inputs!F31="","",Inputs!F31)</f>
        <v>-818677</v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254</v>
      </c>
      <c r="C17" s="199">
        <f>IF(Inputs!C29="","",Inputs!C29)</f>
        <v>59596</v>
      </c>
      <c r="D17" s="199">
        <f>IF(Inputs!D29="","",Inputs!D29)</f>
        <v>20763</v>
      </c>
      <c r="E17" s="199">
        <f>IF(Inputs!E29="","",Inputs!E29)</f>
        <v>23097</v>
      </c>
      <c r="F17" s="199">
        <f>IF(Inputs!F29="","",Inputs!F29)</f>
        <v>28849</v>
      </c>
      <c r="G17" s="199">
        <f>IF(Inputs!G29="","",Inputs!G29)</f>
        <v>63075</v>
      </c>
      <c r="H17" s="199">
        <f>IF(Inputs!H29="","",Inputs!H29)</f>
        <v>34253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>
        <f t="shared" ref="C18:M18" si="6">IF(OR(C6="",C19=""),"",C19/C6)</f>
        <v>2.9789581887257714E-2</v>
      </c>
      <c r="D18" s="152">
        <f t="shared" si="6"/>
        <v>3.1156775793707115E-2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>
        <f>IF(Inputs!C32="","",Inputs!C32)</f>
        <v>456554</v>
      </c>
      <c r="D19" s="199">
        <f>IF(Inputs!D32="","",Inputs!D32)</f>
        <v>373191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4.413341231043115E-2</v>
      </c>
      <c r="D20" s="152">
        <f t="shared" si="7"/>
        <v>8.9565367523571013E-3</v>
      </c>
      <c r="E20" s="152">
        <f t="shared" si="7"/>
        <v>3.8804791663312119E-2</v>
      </c>
      <c r="F20" s="152">
        <f t="shared" si="7"/>
        <v>1.5679014505150749E-2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>
        <f>IF(Inputs!C33="","",Inputs!C33)</f>
        <v>676387</v>
      </c>
      <c r="D21" s="199">
        <f>IF(Inputs!D33="","",Inputs!D33)</f>
        <v>107280</v>
      </c>
      <c r="E21" s="199">
        <f>IF(Inputs!E33="","",Inputs!E33)</f>
        <v>455483</v>
      </c>
      <c r="F21" s="199">
        <f>IF(Inputs!F33="","",Inputs!F33)</f>
        <v>138937</v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970761</v>
      </c>
      <c r="D22" s="161">
        <f t="shared" ref="D22:M22" si="8">IF(D6="","",D14-MAX(D16,0)-MAX(D17,0)-ABS(MAX(D21,0)-MAX(D19,0)))</f>
        <v>724109</v>
      </c>
      <c r="E22" s="161">
        <f t="shared" si="8"/>
        <v>-105115</v>
      </c>
      <c r="F22" s="161">
        <f t="shared" si="8"/>
        <v>767650.33333333337</v>
      </c>
      <c r="G22" s="161">
        <f t="shared" si="8"/>
        <v>1139910.3333333333</v>
      </c>
      <c r="H22" s="161">
        <f t="shared" si="8"/>
        <v>1568270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4.7505712855088637E-2</v>
      </c>
      <c r="D23" s="153">
        <f t="shared" si="9"/>
        <v>4.5340526224919943E-2</v>
      </c>
      <c r="E23" s="153">
        <f t="shared" si="9"/>
        <v>-6.7164400356693665E-3</v>
      </c>
      <c r="F23" s="153">
        <f t="shared" si="9"/>
        <v>6.4971897575252485E-2</v>
      </c>
      <c r="G23" s="153">
        <f t="shared" si="9"/>
        <v>7.6103807884280353E-2</v>
      </c>
      <c r="H23" s="153">
        <f t="shared" si="9"/>
        <v>7.4161616747551548E-2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0.34062827557729569</v>
      </c>
      <c r="D25" s="233" t="str">
        <f t="shared" ref="D25:M25" si="10">IF(E24="","",IF(ABS(D24+E24)=ABS(D24)+ABS(E24),IF(D24&lt;0,-1,1)*(D24-E24)/E24,"Turn"))</f>
        <v>Turn</v>
      </c>
      <c r="E25" s="233" t="str">
        <f t="shared" si="10"/>
        <v>Turn</v>
      </c>
      <c r="F25" s="233">
        <f t="shared" si="10"/>
        <v>-0.32656954596721205</v>
      </c>
      <c r="G25" s="233">
        <f t="shared" si="10"/>
        <v>-0.27314152962606353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199">
        <f>IF(Inputs!D34="","",Inputs!D34)</f>
        <v>11972903</v>
      </c>
      <c r="E28" s="199">
        <f>IF(Inputs!E34="","",Inputs!E34)</f>
        <v>13002006</v>
      </c>
      <c r="F28" s="199">
        <f>IF(Inputs!F34="","",Inputs!F34)</f>
        <v>11732726</v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265773</v>
      </c>
      <c r="D29" s="199">
        <f>IF(Inputs!D35="","",Inputs!D35)</f>
        <v>213823</v>
      </c>
      <c r="E29" s="199">
        <f>IF(Inputs!E35="","",Inputs!E35)</f>
        <v>187711</v>
      </c>
      <c r="F29" s="199">
        <f>IF(Inputs!F35="","",Inputs!F35)</f>
        <v>277338</v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9672256</v>
      </c>
      <c r="D30" s="199">
        <f>IF(Inputs!D36="","",Inputs!D36)</f>
        <v>8852611</v>
      </c>
      <c r="E30" s="199">
        <f>IF(Inputs!E36="","",Inputs!E36)</f>
        <v>8769304</v>
      </c>
      <c r="F30" s="199">
        <f>IF(Inputs!F36="","",Inputs!F36)</f>
        <v>7321614</v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199">
        <f>IF(Inputs!D37="","",Inputs!D37)</f>
        <v>2466431</v>
      </c>
      <c r="E31" s="199">
        <f>IF(Inputs!E37="","",Inputs!E37)</f>
        <v>3908586</v>
      </c>
      <c r="F31" s="199">
        <f>IF(Inputs!F37="","",Inputs!F37)</f>
        <v>2946772</v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473357</v>
      </c>
      <c r="D32" s="199">
        <f>IF(Inputs!D38="","",Inputs!D38)</f>
        <v>241133</v>
      </c>
      <c r="E32" s="199">
        <f>IF(Inputs!E38="","",Inputs!E38)</f>
        <v>233155</v>
      </c>
      <c r="F32" s="199">
        <f>IF(Inputs!F38="","",Inputs!F38)</f>
        <v>241043</v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199">
        <f>IF(Inputs!D39="","",Inputs!D39)</f>
        <v>1035175</v>
      </c>
      <c r="E33" s="199">
        <f>IF(Inputs!E39="","",Inputs!E39)</f>
        <v>1587989</v>
      </c>
      <c r="F33" s="199">
        <f>IF(Inputs!F39="","",Inputs!F39)</f>
        <v>1050082</v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199">
        <f>IF(Inputs!D40="","",Inputs!D40)</f>
        <v>67759</v>
      </c>
      <c r="E34" s="199">
        <f>IF(Inputs!E40="","",Inputs!E40)</f>
        <v>153013</v>
      </c>
      <c r="F34" s="199">
        <f>IF(Inputs!F40="","",Inputs!F40)</f>
        <v>81854</v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12863898</v>
      </c>
      <c r="D36" s="199">
        <f>IF(Inputs!D41="","",Inputs!D41)</f>
        <v>12220942</v>
      </c>
      <c r="E36" s="199">
        <f>IF(Inputs!E41="","",Inputs!E41)</f>
        <v>12078528</v>
      </c>
      <c r="F36" s="199">
        <f>IF(Inputs!F41="","",Inputs!F41)</f>
        <v>11324224</v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-26962</v>
      </c>
      <c r="D37" s="199">
        <f>IF(Inputs!D42="","",Inputs!D42)</f>
        <v>-498</v>
      </c>
      <c r="E37" s="199">
        <f>IF(Inputs!E42="","",Inputs!E42)</f>
        <v>468</v>
      </c>
      <c r="F37" s="199">
        <f>IF(Inputs!F42="","",Inputs!F42)</f>
        <v>411</v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2923945</v>
      </c>
      <c r="D38" s="199">
        <f>IF(Inputs!D43="","",Inputs!D43)</f>
        <v>3475378</v>
      </c>
      <c r="E38" s="199">
        <f>IF(Inputs!E43="","",Inputs!E43)</f>
        <v>4499643</v>
      </c>
      <c r="F38" s="199">
        <f>IF(Inputs!F43="","",Inputs!F43)</f>
        <v>4455433</v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>
        <f>IF(C6="","",C14/MAX(C39,0))</f>
        <v>0.13472770763839131</v>
      </c>
      <c r="D40" s="155">
        <f>IF(D6="","",D14/MAX(D39,0))</f>
        <v>0.11899648724785054</v>
      </c>
      <c r="E40" s="155">
        <f>IF(E6="","",E14/MAX(E39,0))</f>
        <v>0.12104438790214789</v>
      </c>
      <c r="F40" s="155">
        <f t="shared" ref="F40:M40" si="33">IF(F39="","",F14/F39)</f>
        <v>9.3017100732924546E-2</v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0.72762956087193742</v>
      </c>
      <c r="D42" s="156">
        <f t="shared" si="34"/>
        <v>0.7303022981431383</v>
      </c>
      <c r="E42" s="156">
        <f t="shared" si="34"/>
        <v>0.7244946946204498</v>
      </c>
      <c r="F42" s="156">
        <f t="shared" si="34"/>
        <v>0.70294374380383995</v>
      </c>
      <c r="G42" s="156">
        <f t="shared" si="34"/>
        <v>0.70419372087965826</v>
      </c>
      <c r="H42" s="156">
        <f t="shared" si="34"/>
        <v>0.74565961264792724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0.14991333007350532</v>
      </c>
      <c r="D43" s="153">
        <f t="shared" si="35"/>
        <v>0.15591411943585173</v>
      </c>
      <c r="E43" s="153">
        <f t="shared" si="35"/>
        <v>0.1546380527940365</v>
      </c>
      <c r="F43" s="153">
        <f t="shared" si="35"/>
        <v>0.19122175157580659</v>
      </c>
      <c r="G43" s="153">
        <f t="shared" si="35"/>
        <v>0.18856108069142588</v>
      </c>
      <c r="H43" s="153">
        <f t="shared" si="35"/>
        <v>0.15238149582692045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4.0883763120383568E-2</v>
      </c>
      <c r="D44" s="153">
        <f t="shared" si="36"/>
        <v>2.9395857885609465E-2</v>
      </c>
      <c r="E44" s="153">
        <f t="shared" si="36"/>
        <v>8.9049969572670459E-2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3.8885650375487034E-3</v>
      </c>
      <c r="D45" s="153">
        <f t="shared" si="37"/>
        <v>1.7334505274905901E-3</v>
      </c>
      <c r="E45" s="153">
        <f t="shared" si="37"/>
        <v>1.9677447304235723E-3</v>
      </c>
      <c r="F45" s="153">
        <f t="shared" si="37"/>
        <v>3.2556042627888463E-3</v>
      </c>
      <c r="G45" s="153">
        <f t="shared" si="37"/>
        <v>5.6147664039083583E-3</v>
      </c>
      <c r="H45" s="153">
        <f t="shared" si="37"/>
        <v>2.1597113239037349E-3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2.7068908541056925E-4</v>
      </c>
      <c r="G46" s="153">
        <f t="shared" si="38"/>
        <v>1.5868817930031392E-4</v>
      </c>
      <c r="H46" s="153">
        <f t="shared" si="38"/>
        <v>9.1702453784649294E-4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1.4343830423173436E-2</v>
      </c>
      <c r="D47" s="153">
        <f t="shared" ref="D47:M47" si="39">IF(D6="","",ABS(MAX(D21,0)-MAX(D19,0))/D6)</f>
        <v>2.2200239041350014E-2</v>
      </c>
      <c r="E47" s="153">
        <f t="shared" si="39"/>
        <v>3.8804791663312119E-2</v>
      </c>
      <c r="F47" s="153">
        <f t="shared" si="39"/>
        <v>1.5679014505150749E-2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6.3340950473451521E-2</v>
      </c>
      <c r="D48" s="153">
        <f t="shared" si="40"/>
        <v>6.0454034966559926E-2</v>
      </c>
      <c r="E48" s="153">
        <f t="shared" si="40"/>
        <v>-8.9552533808924892E-3</v>
      </c>
      <c r="F48" s="153">
        <f t="shared" si="40"/>
        <v>8.6629196767003327E-2</v>
      </c>
      <c r="G48" s="153">
        <f t="shared" si="40"/>
        <v>0.10147174384570713</v>
      </c>
      <c r="H48" s="153">
        <f t="shared" si="40"/>
        <v>9.8882155663402055E-2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264</v>
      </c>
      <c r="C50" s="272">
        <f>IF(C6="","",C6/C27)</f>
        <v>0.90933332162498015</v>
      </c>
      <c r="D50" s="272">
        <f t="shared" ref="D50:M50" si="41">IF(D6="","",D6/D27)</f>
        <v>0.80234713373193545</v>
      </c>
      <c r="E50" s="272">
        <f t="shared" si="41"/>
        <v>0.72365032910366656</v>
      </c>
      <c r="F50" s="272">
        <f t="shared" si="41"/>
        <v>0.6106195690350612</v>
      </c>
      <c r="G50" s="272" t="e">
        <f t="shared" si="41"/>
        <v>#VALUE!</v>
      </c>
      <c r="H50" s="272" t="e">
        <f t="shared" si="41"/>
        <v>#VALUE!</v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1.7341358408692387E-2</v>
      </c>
      <c r="D51" s="153">
        <f t="shared" si="42"/>
        <v>1.7851543232655226E-2</v>
      </c>
      <c r="E51" s="153">
        <f t="shared" si="42"/>
        <v>1.5992004636642819E-2</v>
      </c>
      <c r="F51" s="153">
        <f t="shared" si="42"/>
        <v>3.1297541510393184E-2</v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0.63110270011109249</v>
      </c>
      <c r="D52" s="153">
        <f t="shared" si="43"/>
        <v>0.73908217538982812</v>
      </c>
      <c r="E52" s="153">
        <f t="shared" si="43"/>
        <v>0.74709926550990846</v>
      </c>
      <c r="F52" s="153">
        <f t="shared" si="43"/>
        <v>0.82624277267477186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259</v>
      </c>
      <c r="C53" s="153">
        <f>IF(D6="","",C16/(C6-D6))</f>
        <v>0.18714483778648183</v>
      </c>
      <c r="D53" s="153">
        <f t="shared" ref="D53:M53" si="44">IF(E6="","",D16/(D6-E6))</f>
        <v>1.4668285834503272</v>
      </c>
      <c r="E53" s="153">
        <f t="shared" si="44"/>
        <v>0.3633800202192411</v>
      </c>
      <c r="F53" s="153">
        <f t="shared" si="44"/>
        <v>0.34507864490338203</v>
      </c>
      <c r="G53" s="153" t="e">
        <f t="shared" si="44"/>
        <v>#VALUE!</v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265</v>
      </c>
      <c r="C55" s="156">
        <f>IF(C36="","",(C36-C37)/C27)</f>
        <v>0.76485172952944758</v>
      </c>
      <c r="D55" s="156">
        <f t="shared" ref="D55:M55" si="45">IF(D36="","",(D36-D37)/D27)</f>
        <v>0.81866464065459732</v>
      </c>
      <c r="E55" s="156">
        <f t="shared" si="45"/>
        <v>0.74462760142880491</v>
      </c>
      <c r="F55" s="156">
        <f t="shared" si="45"/>
        <v>0.7803047524886062</v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>
        <f t="shared" ref="C56:M56" si="46">IF(OR(C22="",C35=""),"",IF(C35&lt;=0,"-",C22/C35))</f>
        <v>0.4770507174230757</v>
      </c>
      <c r="D56" s="157">
        <f t="shared" si="46"/>
        <v>0.6565297651536719</v>
      </c>
      <c r="E56" s="157">
        <f t="shared" si="46"/>
        <v>-6.0376151204880865E-2</v>
      </c>
      <c r="F56" s="157">
        <f t="shared" si="46"/>
        <v>0.67817467889821803</v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6.1391011793840093E-2</v>
      </c>
      <c r="D57" s="153">
        <f t="shared" si="47"/>
        <v>2.8673859874687374E-2</v>
      </c>
      <c r="E57" s="153">
        <f t="shared" si="47"/>
        <v>-0.21973077106026734</v>
      </c>
      <c r="F57" s="153">
        <f t="shared" si="47"/>
        <v>3.7580912490105083E-2</v>
      </c>
      <c r="G57" s="153">
        <f t="shared" si="47"/>
        <v>5.5333299607483753E-2</v>
      </c>
      <c r="H57" s="153">
        <f t="shared" si="47"/>
        <v>2.1841264578165751E-2</v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>
        <f t="shared" ref="C58:M58" si="48">IF(C28="","",C28/C31)</f>
        <v>3.5066755118062995</v>
      </c>
      <c r="D58" s="158">
        <f t="shared" si="48"/>
        <v>4.8543433811852026</v>
      </c>
      <c r="E58" s="158">
        <f t="shared" si="48"/>
        <v>3.3265242212912804</v>
      </c>
      <c r="F58" s="158">
        <f t="shared" si="48"/>
        <v>3.9815520169188523</v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266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267</v>
      </c>
      <c r="C60" s="274">
        <f>IF(C14="","",C14/(C36-C37))</f>
        <v>0.14558943313324324</v>
      </c>
      <c r="D60" s="274">
        <f t="shared" ref="D60:M60" si="50">IF(D14="","",D14/(D36-D37))</f>
        <v>0.11151566427524089</v>
      </c>
      <c r="E60" s="274">
        <f t="shared" si="50"/>
        <v>0.11746224145268362</v>
      </c>
      <c r="F60" s="274">
        <f t="shared" si="50"/>
        <v>8.2607893059814155E-2</v>
      </c>
      <c r="G60" s="274" t="e">
        <f t="shared" si="50"/>
        <v>#VALUE!</v>
      </c>
      <c r="H60" s="274" t="e">
        <f t="shared" si="50"/>
        <v>#VALUE!</v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268</v>
      </c>
      <c r="C61" s="274">
        <f>IF(C22="","",C22/(C36-C37))</f>
        <v>7.5306147146117483E-2</v>
      </c>
      <c r="D61" s="274">
        <f t="shared" ref="D61:M61" si="51">IF(D22="","",D22/(D36-D37))</f>
        <v>5.9249073758902385E-2</v>
      </c>
      <c r="E61" s="274">
        <f t="shared" si="51"/>
        <v>-8.7029705101647117E-3</v>
      </c>
      <c r="F61" s="274">
        <f t="shared" si="51"/>
        <v>6.7790799206356847E-2</v>
      </c>
      <c r="G61" s="274" t="e">
        <f t="shared" si="51"/>
        <v>#VALUE!</v>
      </c>
      <c r="H61" s="274" t="e">
        <f t="shared" si="51"/>
        <v>#VALUE!</v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12890860</v>
      </c>
      <c r="K3" s="24"/>
    </row>
    <row r="4" spans="1:11" ht="15" customHeight="1" x14ac:dyDescent="0.4">
      <c r="B4" s="3" t="s">
        <v>24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3.5066755118062995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3511699.0500000007</v>
      </c>
      <c r="E6" s="56">
        <f>1-D6/D3</f>
        <v>0.72701127994018599</v>
      </c>
      <c r="F6" s="87"/>
      <c r="G6" s="87"/>
      <c r="H6" s="1" t="s">
        <v>27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28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1998219</v>
      </c>
      <c r="D11" s="198">
        <f>Inputs!D48</f>
        <v>0.9</v>
      </c>
      <c r="E11" s="88">
        <f t="shared" ref="E11:E22" si="0">C11*D11</f>
        <v>1798397.1</v>
      </c>
      <c r="F11" s="112"/>
      <c r="G11" s="87"/>
      <c r="H11" s="3" t="s">
        <v>36</v>
      </c>
      <c r="I11" s="40">
        <f>Inputs!C73</f>
        <v>1427805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287697</v>
      </c>
      <c r="J12" s="87"/>
      <c r="K12" s="24"/>
    </row>
    <row r="13" spans="1:11" ht="13.9" x14ac:dyDescent="0.4">
      <c r="B13" s="3" t="s">
        <v>114</v>
      </c>
      <c r="C13" s="40">
        <f>Inputs!C50</f>
        <v>265773</v>
      </c>
      <c r="D13" s="198">
        <f>Inputs!D50</f>
        <v>0.6</v>
      </c>
      <c r="E13" s="88">
        <f t="shared" si="0"/>
        <v>159463.79999999999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1715502</v>
      </c>
      <c r="J15" s="87"/>
    </row>
    <row r="16" spans="1:11" ht="13.9" x14ac:dyDescent="0.4">
      <c r="B16" s="1" t="s">
        <v>154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366595</v>
      </c>
      <c r="D17" s="198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9672256</v>
      </c>
      <c r="D18" s="198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29465</v>
      </c>
      <c r="D21" s="198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52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53</v>
      </c>
      <c r="I25" s="63">
        <f>E28/I28</f>
        <v>1.9498263624780305</v>
      </c>
    </row>
    <row r="26" spans="2:10" ht="15" customHeight="1" x14ac:dyDescent="0.4">
      <c r="B26" s="23" t="s">
        <v>54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55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57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6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319420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103050</v>
      </c>
      <c r="D34" s="198">
        <f>Inputs!D64</f>
        <v>0.4</v>
      </c>
      <c r="E34" s="88">
        <f t="shared" si="1"/>
        <v>41220</v>
      </c>
      <c r="F34" s="112"/>
      <c r="G34" s="87"/>
      <c r="H34" s="1" t="s">
        <v>75</v>
      </c>
      <c r="I34" s="84">
        <f>SUM(I30:I33)</f>
        <v>319420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925726</v>
      </c>
      <c r="D36" s="198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2522337</v>
      </c>
      <c r="D38" s="198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538321</v>
      </c>
      <c r="D40" s="198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154648</v>
      </c>
      <c r="D41" s="198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277674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78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79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80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82</v>
      </c>
      <c r="I48" s="207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83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2034922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45382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15325962</v>
      </c>
      <c r="D74" s="209"/>
      <c r="E74" s="238">
        <f>Inputs!E91</f>
        <v>12260769.600000001</v>
      </c>
      <c r="F74" s="209"/>
      <c r="H74" s="238">
        <f>Inputs!F91</f>
        <v>13793365.800000001</v>
      </c>
      <c r="I74" s="209"/>
      <c r="K74" s="24"/>
    </row>
    <row r="75" spans="1:11" ht="15" customHeight="1" x14ac:dyDescent="0.4">
      <c r="B75" s="104" t="s">
        <v>103</v>
      </c>
      <c r="C75" s="77">
        <f>Data!C8</f>
        <v>11151623</v>
      </c>
      <c r="D75" s="159">
        <f>C75/$C$74</f>
        <v>0.72762956087193742</v>
      </c>
      <c r="E75" s="238">
        <f>Inputs!E92</f>
        <v>8921298.4000000004</v>
      </c>
      <c r="F75" s="160">
        <f>E75/E74</f>
        <v>0.72762956087193742</v>
      </c>
      <c r="H75" s="238">
        <f>Inputs!F92</f>
        <v>10036460.700000001</v>
      </c>
      <c r="I75" s="160">
        <f>H75/$H$74</f>
        <v>0.72762956087193753</v>
      </c>
      <c r="K75" s="24"/>
    </row>
    <row r="76" spans="1:11" ht="15" customHeight="1" x14ac:dyDescent="0.4">
      <c r="B76" s="35" t="s">
        <v>93</v>
      </c>
      <c r="C76" s="161">
        <f>C74-C75</f>
        <v>4174339</v>
      </c>
      <c r="D76" s="210"/>
      <c r="E76" s="162">
        <f>E74-E75</f>
        <v>3339471.2000000011</v>
      </c>
      <c r="F76" s="210"/>
      <c r="H76" s="162">
        <f>H74-H75</f>
        <v>3756905.0999999996</v>
      </c>
      <c r="I76" s="210"/>
      <c r="K76" s="24"/>
    </row>
    <row r="77" spans="1:11" ht="15" customHeight="1" x14ac:dyDescent="0.4">
      <c r="B77" s="104" t="s">
        <v>245</v>
      </c>
      <c r="C77" s="77">
        <f>Data!C10+MAX(Data!C11,0)</f>
        <v>2297566</v>
      </c>
      <c r="D77" s="159">
        <f>C77/$C$74</f>
        <v>0.14991333007350532</v>
      </c>
      <c r="E77" s="238">
        <f>Inputs!E93</f>
        <v>2027931.2918400001</v>
      </c>
      <c r="F77" s="160">
        <f>E77/E74</f>
        <v>0.16539999999999999</v>
      </c>
      <c r="H77" s="238">
        <f>Inputs!F93</f>
        <v>2281422.7033199999</v>
      </c>
      <c r="I77" s="160">
        <f>H77/$H$74</f>
        <v>0.16539999999999999</v>
      </c>
      <c r="K77" s="24"/>
    </row>
    <row r="78" spans="1:11" ht="15" customHeight="1" x14ac:dyDescent="0.4">
      <c r="B78" s="73" t="s">
        <v>168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228</v>
      </c>
      <c r="C79" s="257">
        <f>C76-C77-C78</f>
        <v>1876773</v>
      </c>
      <c r="D79" s="258">
        <f>C79/C74</f>
        <v>0.12245710905455723</v>
      </c>
      <c r="E79" s="259">
        <f>E76-E77-E78</f>
        <v>1311539.908160001</v>
      </c>
      <c r="F79" s="258">
        <f>E79/E74</f>
        <v>0.10697043912806263</v>
      </c>
      <c r="G79" s="260"/>
      <c r="H79" s="259">
        <f>H76-H77-H78</f>
        <v>1475482.3966799998</v>
      </c>
      <c r="I79" s="258">
        <f>H79/H74</f>
        <v>0.10697043912806255</v>
      </c>
      <c r="K79" s="24"/>
    </row>
    <row r="80" spans="1:11" ht="15" customHeight="1" x14ac:dyDescent="0.4">
      <c r="B80" s="28" t="s">
        <v>107</v>
      </c>
      <c r="C80" s="77">
        <f>MAX(Data!C16,0)</f>
        <v>626583</v>
      </c>
      <c r="D80" s="159">
        <f>C80/$C$74</f>
        <v>4.0883763120383568E-2</v>
      </c>
      <c r="E80" s="180">
        <f>E74*F80</f>
        <v>245215.39199999999</v>
      </c>
      <c r="F80" s="160">
        <f>I80</f>
        <v>1.9999999999999997E-2</v>
      </c>
      <c r="H80" s="238">
        <f>Inputs!F96</f>
        <v>275867.31599999999</v>
      </c>
      <c r="I80" s="160">
        <f>H80/$H$74</f>
        <v>1.9999999999999997E-2</v>
      </c>
      <c r="K80" s="181" t="s">
        <v>128</v>
      </c>
    </row>
    <row r="81" spans="1:11" ht="15" customHeight="1" x14ac:dyDescent="0.4">
      <c r="B81" s="104" t="s">
        <v>254</v>
      </c>
      <c r="C81" s="77">
        <f>MAX(Data!C17,0)</f>
        <v>59596</v>
      </c>
      <c r="D81" s="159">
        <f>C81/$C$74</f>
        <v>3.8885650375487034E-3</v>
      </c>
      <c r="E81" s="180">
        <f>E74*F81</f>
        <v>47676.80000000001</v>
      </c>
      <c r="F81" s="160">
        <f>I81</f>
        <v>3.8885650375487034E-3</v>
      </c>
      <c r="H81" s="238">
        <f>Inputs!F94</f>
        <v>53636.4</v>
      </c>
      <c r="I81" s="160">
        <f>H81/$H$74</f>
        <v>3.8885650375487034E-3</v>
      </c>
      <c r="K81" s="24"/>
    </row>
    <row r="82" spans="1:11" ht="15" customHeight="1" x14ac:dyDescent="0.4">
      <c r="B82" s="28" t="s">
        <v>244</v>
      </c>
      <c r="C82" s="77">
        <f>ABS(MAX(Data!C21,0)-MAX(Data!C19,0))</f>
        <v>219833</v>
      </c>
      <c r="D82" s="159">
        <f>C82/$C$74</f>
        <v>1.4343830423173436E-2</v>
      </c>
      <c r="E82" s="238">
        <f>Inputs!E95</f>
        <v>122607.69600000001</v>
      </c>
      <c r="F82" s="160">
        <f>E82/E74</f>
        <v>0.01</v>
      </c>
      <c r="H82" s="238">
        <f>Inputs!F95</f>
        <v>137933.658</v>
      </c>
      <c r="I82" s="160">
        <f>H82/$H$74</f>
        <v>9.9999999999999985E-3</v>
      </c>
      <c r="K82" s="24"/>
    </row>
    <row r="83" spans="1:11" ht="15" customHeight="1" thickBot="1" x14ac:dyDescent="0.45">
      <c r="B83" s="105" t="s">
        <v>122</v>
      </c>
      <c r="C83" s="163">
        <f>C79-C81-C82-C80</f>
        <v>970761</v>
      </c>
      <c r="D83" s="164">
        <f>C83/$C$74</f>
        <v>6.3340950473451521E-2</v>
      </c>
      <c r="E83" s="165">
        <f>E79-E81-E82-E80</f>
        <v>896040.020160001</v>
      </c>
      <c r="F83" s="164">
        <f>E83/E74</f>
        <v>7.3081874090513935E-2</v>
      </c>
      <c r="H83" s="165">
        <f>H79-H81-H82-H80</f>
        <v>1008045.0226799998</v>
      </c>
      <c r="I83" s="164">
        <f>H83/$H$74</f>
        <v>7.3081874090513838E-2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160</v>
      </c>
      <c r="C85" s="257">
        <f>C83*(1-I84)</f>
        <v>728070.75</v>
      </c>
      <c r="D85" s="258">
        <f>C85/$C$74</f>
        <v>4.7505712855088637E-2</v>
      </c>
      <c r="E85" s="264">
        <f>E83*(1-F84)</f>
        <v>672030.01512000081</v>
      </c>
      <c r="F85" s="258">
        <f>E85/E74</f>
        <v>5.4811405567885454E-2</v>
      </c>
      <c r="G85" s="260"/>
      <c r="H85" s="264">
        <f>H83*(1-I84)</f>
        <v>756033.76700999984</v>
      </c>
      <c r="I85" s="258">
        <f>H85/$H$74</f>
        <v>5.4811405567885378E-2</v>
      </c>
      <c r="K85" s="24"/>
    </row>
    <row r="86" spans="1:11" ht="15" customHeight="1" x14ac:dyDescent="0.4">
      <c r="B86" s="87" t="s">
        <v>156</v>
      </c>
      <c r="C86" s="167">
        <f>C85*Data!C4/Common_Shares</f>
        <v>1.2400971133327547</v>
      </c>
      <c r="D86" s="209"/>
      <c r="E86" s="168">
        <f>E85*Data!C4/Common_Shares</f>
        <v>1.1446449151037597</v>
      </c>
      <c r="F86" s="209"/>
      <c r="H86" s="168">
        <f>H85*Data!C4/Common_Shares</f>
        <v>1.2877255294917278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8.9862109661793824E-2</v>
      </c>
      <c r="D87" s="209"/>
      <c r="E87" s="262">
        <f>E86*Exchange_Rate/Dashboard!G3</f>
        <v>8.2945283703170988E-2</v>
      </c>
      <c r="F87" s="209"/>
      <c r="H87" s="262">
        <f>H86*Exchange_Rate/Dashboard!G3</f>
        <v>9.3313444166067225E-2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1.3599999999999999</v>
      </c>
      <c r="D88" s="166">
        <f>C88/C86</f>
        <v>1.0966883039869408</v>
      </c>
      <c r="E88" s="170">
        <f>Inputs!E98</f>
        <v>1</v>
      </c>
      <c r="F88" s="166">
        <f>E88/E86</f>
        <v>0.87363337468663993</v>
      </c>
      <c r="H88" s="170">
        <f>Inputs!F98</f>
        <v>1.1000000000000001</v>
      </c>
      <c r="I88" s="166">
        <f>H88/H86</f>
        <v>0.85421929969360477</v>
      </c>
      <c r="K88" s="24"/>
    </row>
    <row r="89" spans="1:11" ht="15" customHeight="1" x14ac:dyDescent="0.4">
      <c r="B89" s="87" t="s">
        <v>217</v>
      </c>
      <c r="C89" s="261">
        <f>C88*Exchange_Rate/Dashboard!G3</f>
        <v>9.855072463768115E-2</v>
      </c>
      <c r="D89" s="209"/>
      <c r="E89" s="261">
        <f>E88*Exchange_Rate/Dashboard!G3</f>
        <v>7.2463768115942032E-2</v>
      </c>
      <c r="F89" s="209"/>
      <c r="H89" s="261">
        <f>H88*Exchange_Rate/Dashboard!G3</f>
        <v>7.9710144927536239E-2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HK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205</v>
      </c>
      <c r="F93" s="144">
        <f>FV(E87,D93,0,-(E86/(C93-D94)))*Exchange_Rate</f>
        <v>28.122349611581328</v>
      </c>
      <c r="H93" s="87" t="s">
        <v>205</v>
      </c>
      <c r="I93" s="144">
        <f>FV(H87,D93,0,-(H86/(C93-D94)))*Exchange_Rate</f>
        <v>33.181422223817037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23.402453627881719</v>
      </c>
      <c r="H94" s="87" t="s">
        <v>206</v>
      </c>
      <c r="I94" s="144">
        <f>FV(H89,D93,0,-(H88/(C93-D94)))*Exchange_Rate</f>
        <v>26.624216955368194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9685536.5038276892</v>
      </c>
      <c r="D97" s="213"/>
      <c r="E97" s="123">
        <f>PV(C94,D93,0,-F93)</f>
        <v>13.981777968803135</v>
      </c>
      <c r="F97" s="213"/>
      <c r="H97" s="123">
        <f>PV(C94,D93,0,-I93)</f>
        <v>16.497031173791477</v>
      </c>
      <c r="I97" s="123">
        <f>PV(C93,D93,0,-I93)</f>
        <v>22.517488195861585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-51379.699999999953</v>
      </c>
      <c r="D99" s="214"/>
      <c r="E99" s="145">
        <f>IF(H99&gt;0,H99*(1-C94),H99*(1+C94))</f>
        <v>-0.1006402060541346</v>
      </c>
      <c r="F99" s="214"/>
      <c r="H99" s="145">
        <f>C99*Data!$C$4/Common_Shares</f>
        <v>-8.7513222655769218E-2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9634156.80382769</v>
      </c>
      <c r="D100" s="109">
        <f>MIN(F100*(1-C94),E100)</f>
        <v>12.873528678401001</v>
      </c>
      <c r="E100" s="109">
        <f>MAX(E97+H98+E99,0)</f>
        <v>13.881137762749001</v>
      </c>
      <c r="F100" s="109">
        <f>(E100+H100)/2</f>
        <v>15.145327856942355</v>
      </c>
      <c r="H100" s="109">
        <f>MAX(C100*Data!$C$4/Common_Shares,0)</f>
        <v>16.409517951135708</v>
      </c>
      <c r="I100" s="109">
        <f>MAX(I97+H98+H99,0)</f>
        <v>22.429974973205816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7771512.1271068482</v>
      </c>
      <c r="D103" s="109">
        <f>MIN(F103*(1-C94),E103)</f>
        <v>10.570641122329855</v>
      </c>
      <c r="E103" s="123">
        <f>PV(C94,D93,0,-F94)</f>
        <v>11.635155492679853</v>
      </c>
      <c r="F103" s="109">
        <f>(E103+H103)/2</f>
        <v>12.436048379211595</v>
      </c>
      <c r="H103" s="123">
        <f>PV(C94,D93,0,-I94)</f>
        <v>13.236941265743335</v>
      </c>
      <c r="I103" s="109">
        <f>PV(C93,D93,0,-I94)</f>
        <v>18.06765505627553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7490408.0365821682</v>
      </c>
      <c r="D106" s="109">
        <f>(D100+D103)/2</f>
        <v>11.722084900365427</v>
      </c>
      <c r="E106" s="123">
        <f>(E100+E103)/2</f>
        <v>12.758146627714428</v>
      </c>
      <c r="F106" s="109">
        <f>(F100+F103)/2</f>
        <v>13.790688118076975</v>
      </c>
      <c r="H106" s="123">
        <f>(H100+H103)/2</f>
        <v>14.823229608439522</v>
      </c>
      <c r="I106" s="123">
        <f>(I100+I103)/2</f>
        <v>20.248815014740671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