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14D419-DFFA-4205-AAB6-1655CB432B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B7" i="3"/>
  <c r="M53" i="2"/>
  <c r="F96" i="4" l="1"/>
  <c r="E95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K53" i="2"/>
  <c r="L50" i="2"/>
  <c r="J53" i="2"/>
  <c r="K50" i="2"/>
  <c r="H53" i="2"/>
  <c r="I50" i="2"/>
  <c r="F53" i="2"/>
  <c r="D53" i="2"/>
  <c r="C53" i="2"/>
  <c r="D50" i="2"/>
  <c r="I53" i="2"/>
  <c r="J50" i="2"/>
  <c r="E53" i="2"/>
  <c r="G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0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55" i="2" l="1"/>
  <c r="F55" i="2"/>
  <c r="G55" i="2"/>
  <c r="H55" i="2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D59" i="2" l="1"/>
  <c r="D56" i="2"/>
  <c r="K59" i="2"/>
  <c r="G59" i="2"/>
  <c r="L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<sst xmlns="http://schemas.openxmlformats.org/spreadsheetml/2006/main" count="393" uniqueCount="274">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</sst>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0.59283762583788169</c:v>
                </c:pt>
                <c:pt idx="1">
                  <c:v>0.33954325970765542</c:v>
                </c:pt>
                <c:pt idx="2">
                  <c:v>8.4484276914648701E-2</c:v>
                </c:pt>
                <c:pt idx="3">
                  <c:v>0</c:v>
                </c:pt>
                <c:pt idx="4">
                  <c:v>0.11962833256742103</c:v>
                </c:pt>
                <c:pt idx="5">
                  <c:v>0</c:v>
                </c:pt>
                <c:pt idx="6">
                  <c:v>-0.13649349502760685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269</v>
      </c>
    </row>
    <row r="5" spans="1:5" ht="13.9" x14ac:dyDescent="0.4">
      <c r="B5" s="141" t="s">
        <v>191</v>
      </c>
      <c r="C5" s="191" t="s">
        <v>270</v>
      </c>
    </row>
    <row r="6" spans="1:5" ht="13.9" x14ac:dyDescent="0.4">
      <c r="B6" s="141" t="s">
        <v>159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271</v>
      </c>
      <c r="E8" s="267"/>
    </row>
    <row r="9" spans="1:5" ht="13.9" x14ac:dyDescent="0.4">
      <c r="B9" s="140" t="s">
        <v>212</v>
      </c>
      <c r="C9" s="192" t="s">
        <v>272</v>
      </c>
    </row>
    <row r="10" spans="1:5" ht="13.9" x14ac:dyDescent="0.4">
      <c r="B10" s="140" t="s">
        <v>213</v>
      </c>
      <c r="C10" s="193">
        <v>7286015440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256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241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254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883478</v>
      </c>
      <c r="D25" s="149">
        <v>1599809</v>
      </c>
      <c r="E25" s="149">
        <v>1195031</v>
      </c>
      <c r="F25" s="149">
        <v>705854</v>
      </c>
      <c r="G25" s="149">
        <v>396091</v>
      </c>
      <c r="H25" s="149">
        <v>1676296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523759</v>
      </c>
      <c r="D26" s="150">
        <v>535391</v>
      </c>
      <c r="E26" s="150">
        <v>647828</v>
      </c>
      <c r="F26" s="150">
        <v>531460</v>
      </c>
      <c r="G26" s="150">
        <v>193695</v>
      </c>
      <c r="H26" s="150">
        <v>1515759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299979</v>
      </c>
      <c r="D27" s="150">
        <v>378568</v>
      </c>
      <c r="E27" s="150">
        <v>343154</v>
      </c>
      <c r="F27" s="150">
        <v>250972</v>
      </c>
      <c r="G27" s="150">
        <v>231174</v>
      </c>
      <c r="H27" s="150">
        <v>164177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105689</v>
      </c>
      <c r="D29" s="150">
        <v>102356</v>
      </c>
      <c r="E29" s="150">
        <v>74343</v>
      </c>
      <c r="F29" s="150">
        <v>77168</v>
      </c>
      <c r="G29" s="150">
        <v>27358</v>
      </c>
      <c r="H29" s="150">
        <v>5699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55980</v>
      </c>
      <c r="D30" s="150">
        <v>-7663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>
        <v>6479593</v>
      </c>
      <c r="F34" s="150">
        <v>4814457</v>
      </c>
      <c r="G34" s="150">
        <v>3809545</v>
      </c>
      <c r="H34" s="150">
        <v>3366187</v>
      </c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>
        <v>1972480</v>
      </c>
      <c r="F37" s="150">
        <v>699855</v>
      </c>
      <c r="G37" s="150">
        <v>289962</v>
      </c>
      <c r="H37" s="150">
        <v>404157</v>
      </c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>
        <v>672819</v>
      </c>
      <c r="F39" s="150">
        <v>128928</v>
      </c>
      <c r="G39" s="150">
        <v>79063</v>
      </c>
      <c r="H39" s="150">
        <v>103143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>
        <v>1954184</v>
      </c>
      <c r="F40" s="150">
        <v>1488416</v>
      </c>
      <c r="G40" s="150">
        <v>848368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>
        <v>10746578</v>
      </c>
      <c r="F41" s="150">
        <v>11919298</v>
      </c>
      <c r="G41" s="150">
        <v>9822624</v>
      </c>
      <c r="H41" s="150">
        <v>8995456</v>
      </c>
      <c r="I41" s="150"/>
      <c r="J41" s="150"/>
      <c r="K41" s="150"/>
      <c r="L41" s="150"/>
      <c r="M41" s="150"/>
    </row>
    <row r="42" spans="2:13" ht="13.9" x14ac:dyDescent="0.4">
      <c r="B42" s="94" t="s">
        <v>260</v>
      </c>
      <c r="C42" s="217"/>
      <c r="D42" s="150"/>
      <c r="E42" s="150">
        <v>100450</v>
      </c>
      <c r="F42" s="150">
        <v>147008</v>
      </c>
      <c r="G42" s="150">
        <v>138319</v>
      </c>
      <c r="H42" s="150">
        <v>29199</v>
      </c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0.022+0.0328</f>
        <v>5.4800000000000001E-2</v>
      </c>
      <c r="D44" s="250">
        <f>0.054+0.0412</f>
        <v>9.5200000000000007E-2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5.5353535353535356E-2</v>
      </c>
      <c r="D45" s="152">
        <f>IF(D44="","",D44*Exchange_Rate/Dashboard!$G$3)</f>
        <v>9.616161616161617E-2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171402</v>
      </c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258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257</v>
      </c>
      <c r="C64" s="59">
        <v>103165</v>
      </c>
      <c r="D64" s="60">
        <v>0.4</v>
      </c>
      <c r="E64" s="112"/>
    </row>
    <row r="65" spans="2:5" ht="13.9" x14ac:dyDescent="0.4">
      <c r="B65" s="3" t="s">
        <v>67</v>
      </c>
      <c r="C65" s="59">
        <f>237097+544099</f>
        <v>781196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875642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553636</v>
      </c>
      <c r="D72" s="248">
        <v>0</v>
      </c>
      <c r="E72" s="249"/>
    </row>
    <row r="73" spans="2:5" ht="13.9" x14ac:dyDescent="0.4">
      <c r="B73" s="3" t="s">
        <v>36</v>
      </c>
      <c r="C73" s="59">
        <v>30697</v>
      </c>
    </row>
    <row r="74" spans="2:5" ht="13.9" x14ac:dyDescent="0.4">
      <c r="B74" s="3" t="s">
        <v>37</v>
      </c>
      <c r="C74" s="59">
        <v>143877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>
        <v>222396</v>
      </c>
    </row>
    <row r="77" spans="2:5" ht="14.25" thickBot="1" x14ac:dyDescent="0.45">
      <c r="B77" s="80" t="s">
        <v>16</v>
      </c>
      <c r="C77" s="83">
        <v>1241245</v>
      </c>
    </row>
    <row r="78" spans="2:5" ht="14.25" thickTop="1" x14ac:dyDescent="0.4">
      <c r="B78" s="3" t="s">
        <v>59</v>
      </c>
      <c r="C78" s="59">
        <f>361148+714395</f>
        <v>1075543</v>
      </c>
    </row>
    <row r="79" spans="2:5" ht="13.9" x14ac:dyDescent="0.4">
      <c r="B79" s="3" t="s">
        <v>61</v>
      </c>
      <c r="C79" s="59">
        <v>1679438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>
        <v>89231</v>
      </c>
    </row>
    <row r="82" spans="2:8" ht="14.25" thickBot="1" x14ac:dyDescent="0.45">
      <c r="B82" s="80" t="s">
        <v>82</v>
      </c>
      <c r="C82" s="83">
        <v>2955970</v>
      </c>
    </row>
    <row r="83" spans="2:8" ht="14.25" thickTop="1" x14ac:dyDescent="0.4">
      <c r="B83" s="73" t="s">
        <v>216</v>
      </c>
      <c r="C83" s="59">
        <v>10055358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883478</v>
      </c>
      <c r="D91" s="209"/>
      <c r="E91" s="251">
        <f>C91</f>
        <v>883478</v>
      </c>
      <c r="F91" s="251">
        <f>C91</f>
        <v>883478</v>
      </c>
    </row>
    <row r="92" spans="2:8" ht="13.9" x14ac:dyDescent="0.4">
      <c r="B92" s="104" t="s">
        <v>103</v>
      </c>
      <c r="C92" s="77">
        <f>C26</f>
        <v>523759</v>
      </c>
      <c r="D92" s="159">
        <f>C92/C91</f>
        <v>0.59283762583788169</v>
      </c>
      <c r="E92" s="252">
        <f>E91*D92</f>
        <v>523759.00000000006</v>
      </c>
      <c r="F92" s="252">
        <f>F91*D92</f>
        <v>523759.00000000006</v>
      </c>
    </row>
    <row r="93" spans="2:8" ht="13.9" x14ac:dyDescent="0.4">
      <c r="B93" s="104" t="s">
        <v>243</v>
      </c>
      <c r="C93" s="77">
        <f>C27+C28</f>
        <v>299979</v>
      </c>
      <c r="D93" s="159">
        <f>C93/C91</f>
        <v>0.33954325970765542</v>
      </c>
      <c r="E93" s="252">
        <f>E91*D93</f>
        <v>299979</v>
      </c>
      <c r="F93" s="252">
        <f>F91*D93</f>
        <v>299979</v>
      </c>
    </row>
    <row r="94" spans="2:8" ht="13.9" x14ac:dyDescent="0.4">
      <c r="B94" s="104" t="s">
        <v>252</v>
      </c>
      <c r="C94" s="77">
        <f>C29</f>
        <v>105689</v>
      </c>
      <c r="D94" s="159">
        <f>C94/C91</f>
        <v>0.11962833256742103</v>
      </c>
      <c r="E94" s="253"/>
      <c r="F94" s="252">
        <f>F91*D94</f>
        <v>105689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74640</v>
      </c>
      <c r="D97" s="159">
        <f>C97/C91</f>
        <v>8.4484276914648701E-2</v>
      </c>
      <c r="E97" s="253"/>
      <c r="F97" s="252">
        <f>F91*D97</f>
        <v>74640</v>
      </c>
    </row>
    <row r="98" spans="2:7" ht="13.9" x14ac:dyDescent="0.4">
      <c r="B98" s="86" t="s">
        <v>203</v>
      </c>
      <c r="C98" s="237">
        <f>C44</f>
        <v>5.4800000000000001E-2</v>
      </c>
      <c r="D98" s="266"/>
      <c r="E98" s="254">
        <f>F98</f>
        <v>5.4800000000000001E-2</v>
      </c>
      <c r="F98" s="254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0697.HK</v>
      </c>
      <c r="D3" s="282"/>
      <c r="E3" s="87"/>
      <c r="F3" s="3" t="s">
        <v>1</v>
      </c>
      <c r="G3" s="132">
        <v>0.99</v>
      </c>
      <c r="H3" s="134" t="s">
        <v>273</v>
      </c>
    </row>
    <row r="4" spans="1:10" ht="15.75" customHeight="1" x14ac:dyDescent="0.4">
      <c r="B4" s="35" t="s">
        <v>191</v>
      </c>
      <c r="C4" s="283" t="str">
        <f>Inputs!C5</f>
        <v>首程控股</v>
      </c>
      <c r="D4" s="284"/>
      <c r="E4" s="87"/>
      <c r="F4" s="3" t="s">
        <v>3</v>
      </c>
      <c r="G4" s="287">
        <f>Inputs!C10</f>
        <v>7286015440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45639</v>
      </c>
      <c r="D5" s="286"/>
      <c r="E5" s="34"/>
      <c r="F5" s="35" t="s">
        <v>97</v>
      </c>
      <c r="G5" s="279">
        <f>G3*G4/1000000</f>
        <v>7213.1552856000008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Tier 3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0.59283762583788169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0.33954325970765542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8.4484276914648701E-2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>
        <f>G3/(Data!C36*Data!C4/Common_Shares*Exchange_Rate)</f>
        <v>0.71031397265729213</v>
      </c>
    </row>
    <row r="24" spans="1:8" ht="15.75" customHeight="1" x14ac:dyDescent="0.4">
      <c r="B24" s="137" t="s">
        <v>166</v>
      </c>
      <c r="C24" s="171">
        <f>Fin_Analysis!I81</f>
        <v>0.11962833256742103</v>
      </c>
      <c r="F24" s="140" t="s">
        <v>255</v>
      </c>
      <c r="G24" s="268">
        <f>G3/(Fin_Analysis!H86*G7)</f>
        <v>-79.754707152393635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-4.41470500197088</v>
      </c>
    </row>
    <row r="26" spans="1:8" ht="15.75" customHeight="1" x14ac:dyDescent="0.4">
      <c r="B26" s="138" t="s">
        <v>169</v>
      </c>
      <c r="C26" s="171">
        <f>Fin_Analysis!I83</f>
        <v>-0.13649349502760685</v>
      </c>
      <c r="F26" s="141" t="s">
        <v>189</v>
      </c>
      <c r="G26" s="178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0.21419618595443285</v>
      </c>
      <c r="D29" s="129">
        <f>G29*(1+G20)</f>
        <v>0.28953315871536028</v>
      </c>
      <c r="E29" s="87"/>
      <c r="F29" s="131">
        <f>IF(Fin_Analysis!C108="Profit",Fin_Analysis!F100,IF(Fin_Analysis!C108="Dividend",Fin_Analysis!F103,Fin_Analysis!F106))</f>
        <v>0.25199551288756805</v>
      </c>
      <c r="G29" s="278">
        <f>IF(Fin_Analysis!C108="Profit",Fin_Analysis!I100,IF(Fin_Analysis!C108="Dividend",Fin_Analysis!I103,Fin_Analysis!I106))</f>
        <v>0.25176796410031332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unclear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883478</v>
      </c>
      <c r="D6" s="200">
        <f>IF(Inputs!D25="","",Inputs!D25)</f>
        <v>1599809</v>
      </c>
      <c r="E6" s="200">
        <f>IF(Inputs!E25="","",Inputs!E25)</f>
        <v>1195031</v>
      </c>
      <c r="F6" s="200">
        <f>IF(Inputs!F25="","",Inputs!F25)</f>
        <v>705854</v>
      </c>
      <c r="G6" s="200">
        <f>IF(Inputs!G25="","",Inputs!G25)</f>
        <v>396091</v>
      </c>
      <c r="H6" s="200">
        <f>IF(Inputs!H25="","",Inputs!H25)</f>
        <v>1676296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523759</v>
      </c>
      <c r="D8" s="199">
        <f>IF(Inputs!D26="","",Inputs!D26)</f>
        <v>535391</v>
      </c>
      <c r="E8" s="199">
        <f>IF(Inputs!E26="","",Inputs!E26)</f>
        <v>647828</v>
      </c>
      <c r="F8" s="199">
        <f>IF(Inputs!F26="","",Inputs!F26)</f>
        <v>531460</v>
      </c>
      <c r="G8" s="199">
        <f>IF(Inputs!G26="","",Inputs!G26)</f>
        <v>193695</v>
      </c>
      <c r="H8" s="199">
        <f>IF(Inputs!H26="","",Inputs!H26)</f>
        <v>1515759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359719</v>
      </c>
      <c r="D9" s="151">
        <f t="shared" si="2"/>
        <v>1064418</v>
      </c>
      <c r="E9" s="151">
        <f t="shared" si="2"/>
        <v>547203</v>
      </c>
      <c r="F9" s="151">
        <f t="shared" si="2"/>
        <v>174394</v>
      </c>
      <c r="G9" s="151">
        <f t="shared" si="2"/>
        <v>202396</v>
      </c>
      <c r="H9" s="151">
        <f t="shared" si="2"/>
        <v>160537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299979</v>
      </c>
      <c r="D10" s="199">
        <f>IF(Inputs!D27="","",Inputs!D27)</f>
        <v>378568</v>
      </c>
      <c r="E10" s="199">
        <f>IF(Inputs!E27="","",Inputs!E27)</f>
        <v>343154</v>
      </c>
      <c r="F10" s="199">
        <f>IF(Inputs!F27="","",Inputs!F27)</f>
        <v>250972</v>
      </c>
      <c r="G10" s="199">
        <f>IF(Inputs!G27="","",Inputs!G27)</f>
        <v>231174</v>
      </c>
      <c r="H10" s="199">
        <f>IF(Inputs!H27="","",Inputs!H27)</f>
        <v>164177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74640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-1.6865162460185767E-2</v>
      </c>
      <c r="D13" s="229">
        <f t="shared" si="3"/>
        <v>0.42870742694909203</v>
      </c>
      <c r="E13" s="229">
        <f t="shared" si="3"/>
        <v>0.1707478718125304</v>
      </c>
      <c r="F13" s="229">
        <f t="shared" si="3"/>
        <v>-0.10848985767594999</v>
      </c>
      <c r="G13" s="229">
        <f t="shared" si="3"/>
        <v>-7.265502119462447E-2</v>
      </c>
      <c r="H13" s="229">
        <f t="shared" si="3"/>
        <v>-2.1714542061783836E-3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-14900</v>
      </c>
      <c r="D14" s="230">
        <f t="shared" ref="D14:M14" si="4">IF(D6="","",D9-D10-MAX(D11,0)-MAX(D12,0))</f>
        <v>685850</v>
      </c>
      <c r="E14" s="230">
        <f t="shared" si="4"/>
        <v>204049</v>
      </c>
      <c r="F14" s="230">
        <f t="shared" si="4"/>
        <v>-76578</v>
      </c>
      <c r="G14" s="230">
        <f t="shared" si="4"/>
        <v>-28778</v>
      </c>
      <c r="H14" s="230">
        <f t="shared" si="4"/>
        <v>-3640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2.3612024562727578</v>
      </c>
      <c r="E15" s="232" t="str">
        <f t="shared" si="5"/>
        <v>Turn</v>
      </c>
      <c r="F15" s="232">
        <f t="shared" si="5"/>
        <v>-1.6609910348182639</v>
      </c>
      <c r="G15" s="232">
        <f t="shared" si="5"/>
        <v>-6.9060439560439564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105689</v>
      </c>
      <c r="D17" s="199">
        <f>IF(Inputs!D29="","",Inputs!D29)</f>
        <v>102356</v>
      </c>
      <c r="E17" s="199">
        <f>IF(Inputs!E29="","",Inputs!E29)</f>
        <v>74343</v>
      </c>
      <c r="F17" s="199">
        <f>IF(Inputs!F29="","",Inputs!F29)</f>
        <v>77168</v>
      </c>
      <c r="G17" s="199">
        <f>IF(Inputs!G29="","",Inputs!G29)</f>
        <v>27358</v>
      </c>
      <c r="H17" s="199">
        <f>IF(Inputs!H29="","",Inputs!H29)</f>
        <v>5699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-120589</v>
      </c>
      <c r="D22" s="161">
        <f t="shared" ref="D22:M22" si="8">IF(D6="","",D14-MAX(D16,0)-MAX(D17,0)-ABS(MAX(D21,0)-MAX(D19,0)))</f>
        <v>583494</v>
      </c>
      <c r="E22" s="161">
        <f t="shared" si="8"/>
        <v>129706</v>
      </c>
      <c r="F22" s="161">
        <f t="shared" si="8"/>
        <v>-153746</v>
      </c>
      <c r="G22" s="161">
        <f t="shared" si="8"/>
        <v>-56136</v>
      </c>
      <c r="H22" s="161">
        <f t="shared" si="8"/>
        <v>-9339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-0.10237012127070511</v>
      </c>
      <c r="D23" s="153">
        <f t="shared" si="9"/>
        <v>0.27354546699012194</v>
      </c>
      <c r="E23" s="153">
        <f t="shared" si="9"/>
        <v>8.1403327612421764E-2</v>
      </c>
      <c r="F23" s="153">
        <f t="shared" si="9"/>
        <v>-0.16336168669441556</v>
      </c>
      <c r="G23" s="153">
        <f t="shared" si="9"/>
        <v>-0.10629375572785042</v>
      </c>
      <c r="H23" s="153">
        <f t="shared" si="9"/>
        <v>-4.1784088251716877E-3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3.4985891169259711</v>
      </c>
      <c r="E25" s="233" t="str">
        <f t="shared" si="10"/>
        <v>Turn</v>
      </c>
      <c r="F25" s="233">
        <f t="shared" si="10"/>
        <v>-1.7388128829984324</v>
      </c>
      <c r="G25" s="233">
        <f t="shared" si="10"/>
        <v>-5.0109219402505625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14352098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4843132</v>
      </c>
      <c r="D28" s="199" t="str">
        <f>IF(Inputs!D34="","",Inputs!D34)</f>
        <v/>
      </c>
      <c r="E28" s="199">
        <f>IF(Inputs!E34="","",Inputs!E34)</f>
        <v>6479593</v>
      </c>
      <c r="F28" s="199">
        <f>IF(Inputs!F34="","",Inputs!F34)</f>
        <v>4814457</v>
      </c>
      <c r="G28" s="199">
        <f>IF(Inputs!G34="","",Inputs!G34)</f>
        <v>3809545</v>
      </c>
      <c r="H28" s="199">
        <f>IF(Inputs!H34="","",Inputs!H34)</f>
        <v>3366187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649112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1241245</v>
      </c>
      <c r="D31" s="199" t="str">
        <f>IF(Inputs!D37="","",Inputs!D37)</f>
        <v/>
      </c>
      <c r="E31" s="199">
        <f>IF(Inputs!E37="","",Inputs!E37)</f>
        <v>1972480</v>
      </c>
      <c r="F31" s="199">
        <f>IF(Inputs!F37="","",Inputs!F37)</f>
        <v>699855</v>
      </c>
      <c r="G31" s="199">
        <f>IF(Inputs!G37="","",Inputs!G37)</f>
        <v>289962</v>
      </c>
      <c r="H31" s="199">
        <f>IF(Inputs!H37="","",Inputs!H37)</f>
        <v>404157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2955970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396970</v>
      </c>
      <c r="D33" s="199" t="str">
        <f>IF(Inputs!D39="","",Inputs!D39)</f>
        <v/>
      </c>
      <c r="E33" s="199">
        <f>IF(Inputs!E39="","",Inputs!E39)</f>
        <v>672819</v>
      </c>
      <c r="F33" s="199">
        <f>IF(Inputs!F39="","",Inputs!F39)</f>
        <v>128928</v>
      </c>
      <c r="G33" s="199">
        <f>IF(Inputs!G39="","",Inputs!G39)</f>
        <v>79063</v>
      </c>
      <c r="H33" s="199">
        <f>IF(Inputs!H39="","",Inputs!H39)</f>
        <v>103143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2844212</v>
      </c>
      <c r="D34" s="199" t="str">
        <f>IF(Inputs!D40="","",Inputs!D40)</f>
        <v/>
      </c>
      <c r="E34" s="199">
        <f>IF(Inputs!E40="","",Inputs!E40)</f>
        <v>1954184</v>
      </c>
      <c r="F34" s="199">
        <f>IF(Inputs!F40="","",Inputs!F40)</f>
        <v>1488416</v>
      </c>
      <c r="G34" s="199">
        <f>IF(Inputs!G40="","",Inputs!G40)</f>
        <v>848368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3241182</v>
      </c>
      <c r="D35" s="77" t="str">
        <f t="shared" ref="D35" si="22">IF(OR(D33="",D34=""),"",D33+D34)</f>
        <v/>
      </c>
      <c r="E35" s="77">
        <f t="shared" ref="E35" si="23">IF(OR(E33="",E34=""),"",E33+E34)</f>
        <v>2627003</v>
      </c>
      <c r="F35" s="77">
        <f t="shared" ref="F35" si="24">IF(OR(F33="",F34=""),"",F33+F34)</f>
        <v>1617344</v>
      </c>
      <c r="G35" s="77">
        <f t="shared" ref="G35" si="25">IF(OR(G33="",G34=""),"",G33+G34)</f>
        <v>927431</v>
      </c>
      <c r="H35" s="77">
        <f t="shared" ref="H35" si="26">IF(OR(H33="",H34=""),"",H33+H34)</f>
        <v>103143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10154883</v>
      </c>
      <c r="D36" s="199" t="str">
        <f>IF(Inputs!D41="","",Inputs!D41)</f>
        <v/>
      </c>
      <c r="E36" s="199">
        <f>IF(Inputs!E41="","",Inputs!E41)</f>
        <v>10746578</v>
      </c>
      <c r="F36" s="199">
        <f>IF(Inputs!F41="","",Inputs!F41)</f>
        <v>11919298</v>
      </c>
      <c r="G36" s="199">
        <f>IF(Inputs!G41="","",Inputs!G41)</f>
        <v>9822624</v>
      </c>
      <c r="H36" s="199">
        <f>IF(Inputs!H41="","",Inputs!H41)</f>
        <v>8995456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99525</v>
      </c>
      <c r="D37" s="199" t="str">
        <f>IF(Inputs!D42="","",Inputs!D42)</f>
        <v/>
      </c>
      <c r="E37" s="199">
        <f>IF(Inputs!E42="","",Inputs!E42)</f>
        <v>100450</v>
      </c>
      <c r="F37" s="199">
        <f>IF(Inputs!F42="","",Inputs!F42)</f>
        <v>147008</v>
      </c>
      <c r="G37" s="199">
        <f>IF(Inputs!G42="","",Inputs!G42)</f>
        <v>138319</v>
      </c>
      <c r="H37" s="199">
        <f>IF(Inputs!H42="","",Inputs!H42)</f>
        <v>29199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10477281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3874817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-3.8453428897416318E-3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0.59283762583788169</v>
      </c>
      <c r="D42" s="156">
        <f t="shared" si="34"/>
        <v>0.33465932495691675</v>
      </c>
      <c r="E42" s="156">
        <f t="shared" si="34"/>
        <v>0.54210141828956737</v>
      </c>
      <c r="F42" s="156">
        <f t="shared" si="34"/>
        <v>0.75293190943169552</v>
      </c>
      <c r="G42" s="156">
        <f t="shared" si="34"/>
        <v>0.48901641289501657</v>
      </c>
      <c r="H42" s="156">
        <f t="shared" si="34"/>
        <v>0.90423111431393977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0.33954325970765542</v>
      </c>
      <c r="D43" s="153">
        <f t="shared" si="35"/>
        <v>0.23663324809399122</v>
      </c>
      <c r="E43" s="153">
        <f t="shared" si="35"/>
        <v>0.28715070989790226</v>
      </c>
      <c r="F43" s="153">
        <f t="shared" si="35"/>
        <v>0.35555794824425446</v>
      </c>
      <c r="G43" s="153">
        <f t="shared" si="35"/>
        <v>0.5836386082996079</v>
      </c>
      <c r="H43" s="153">
        <f t="shared" si="35"/>
        <v>9.7940339892238604E-2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0.11962833256742103</v>
      </c>
      <c r="D45" s="153">
        <f t="shared" si="37"/>
        <v>6.3980137628929457E-2</v>
      </c>
      <c r="E45" s="153">
        <f t="shared" si="37"/>
        <v>6.2210101662634694E-2</v>
      </c>
      <c r="F45" s="153">
        <f t="shared" si="37"/>
        <v>0.10932572458327076</v>
      </c>
      <c r="G45" s="153">
        <f t="shared" si="37"/>
        <v>6.9069986442509418E-2</v>
      </c>
      <c r="H45" s="153">
        <f t="shared" si="37"/>
        <v>3.3997575607172003E-3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8.4484276914648701E-2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-0.1364934950276068</v>
      </c>
      <c r="D48" s="153">
        <f t="shared" si="40"/>
        <v>0.36472728932016257</v>
      </c>
      <c r="E48" s="153">
        <f t="shared" si="40"/>
        <v>0.1085377701498957</v>
      </c>
      <c r="F48" s="153">
        <f t="shared" si="40"/>
        <v>-0.21781558225922074</v>
      </c>
      <c r="G48" s="153">
        <f t="shared" si="40"/>
        <v>-0.14172500763713389</v>
      </c>
      <c r="H48" s="153">
        <f t="shared" si="40"/>
        <v>-5.5712117668955839E-3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264</v>
      </c>
      <c r="C50" s="272">
        <f>IF(C6="","",C6/C39)</f>
        <v>0.2280050903049099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0.73472344529235589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259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265</v>
      </c>
      <c r="C55" s="156">
        <f>IF(C36="","",(C36-C37)/C27)</f>
        <v>0.70061937982864941</v>
      </c>
      <c r="D55" s="156" t="str">
        <f t="shared" ref="D55:M55" si="45">IF(D36="","",(D36-D37)/D27)</f>
        <v/>
      </c>
      <c r="E55" s="156" t="e">
        <f t="shared" si="45"/>
        <v>#VALUE!</v>
      </c>
      <c r="F55" s="156" t="e">
        <f t="shared" si="45"/>
        <v>#VALUE!</v>
      </c>
      <c r="G55" s="156" t="e">
        <f t="shared" si="45"/>
        <v>#VALUE!</v>
      </c>
      <c r="H55" s="156" t="e">
        <f t="shared" si="45"/>
        <v>#VALUE!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-3.7205254132597308E-2</v>
      </c>
      <c r="D56" s="157" t="str">
        <f t="shared" si="46"/>
        <v/>
      </c>
      <c r="E56" s="157">
        <f t="shared" si="46"/>
        <v>4.9374134707878138E-2</v>
      </c>
      <c r="F56" s="157">
        <f t="shared" si="46"/>
        <v>-9.5060791025285904E-2</v>
      </c>
      <c r="G56" s="157">
        <f t="shared" si="46"/>
        <v>-6.0528492146585566E-2</v>
      </c>
      <c r="H56" s="157">
        <f t="shared" si="46"/>
        <v>-9.054419592216631E-2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-0.87643980794268139</v>
      </c>
      <c r="D57" s="153">
        <f t="shared" si="47"/>
        <v>0.17541911313569633</v>
      </c>
      <c r="E57" s="153">
        <f t="shared" si="47"/>
        <v>0.57316546651658362</v>
      </c>
      <c r="F57" s="153">
        <f t="shared" si="47"/>
        <v>-0.50191874910566781</v>
      </c>
      <c r="G57" s="153">
        <f t="shared" si="47"/>
        <v>-0.4873521447912213</v>
      </c>
      <c r="H57" s="153">
        <f t="shared" si="47"/>
        <v>-0.61023664203876216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3.901834045655773</v>
      </c>
      <c r="D58" s="158" t="str">
        <f t="shared" si="48"/>
        <v/>
      </c>
      <c r="E58" s="158">
        <f t="shared" si="48"/>
        <v>3.2849980734912396</v>
      </c>
      <c r="F58" s="158">
        <f t="shared" si="48"/>
        <v>6.8792206957155413</v>
      </c>
      <c r="G58" s="158">
        <f t="shared" si="48"/>
        <v>13.138083610955919</v>
      </c>
      <c r="H58" s="158">
        <f t="shared" si="48"/>
        <v>8.3289093099958684</v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266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267</v>
      </c>
      <c r="C60" s="274">
        <f>IF(C14="","",C14/(C36-C37))</f>
        <v>-1.4817970677921163E-3</v>
      </c>
      <c r="D60" s="274" t="e">
        <f t="shared" ref="D60:M60" si="50">IF(D14="","",D14/(D36-D37))</f>
        <v>#VALUE!</v>
      </c>
      <c r="E60" s="274">
        <f t="shared" si="50"/>
        <v>1.9166498843523203E-2</v>
      </c>
      <c r="F60" s="274">
        <f t="shared" si="50"/>
        <v>-6.5049365926255643E-3</v>
      </c>
      <c r="G60" s="274">
        <f t="shared" si="50"/>
        <v>-2.9716123149776882E-3</v>
      </c>
      <c r="H60" s="274">
        <f t="shared" si="50"/>
        <v>-4.0596650307926706E-4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268</v>
      </c>
      <c r="C61" s="274">
        <f>IF(C22="","",C22/(C36-C37))</f>
        <v>-1.19925118528848E-2</v>
      </c>
      <c r="D61" s="274" t="e">
        <f t="shared" ref="D61:M61" si="51">IF(D22="","",D22/(D36-D37))</f>
        <v>#VALUE!</v>
      </c>
      <c r="E61" s="274">
        <f t="shared" si="51"/>
        <v>1.2183396630211472E-2</v>
      </c>
      <c r="F61" s="274">
        <f t="shared" si="51"/>
        <v>-1.3059990876881219E-2</v>
      </c>
      <c r="G61" s="274">
        <f t="shared" si="51"/>
        <v>-5.7965956256024569E-3</v>
      </c>
      <c r="H61" s="274">
        <f t="shared" si="51"/>
        <v>-1.0415717506201305E-3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10154883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10055358</v>
      </c>
      <c r="K3" s="24"/>
    </row>
    <row r="4" spans="1:11" ht="15" customHeight="1" x14ac:dyDescent="0.4">
      <c r="B4" s="3" t="s">
        <v>24</v>
      </c>
      <c r="C4" s="87"/>
      <c r="D4" s="65">
        <f>D3-I3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2681876.3000000007</v>
      </c>
      <c r="E6" s="56">
        <f>1-D6/D3</f>
        <v>0.73590278686618049</v>
      </c>
      <c r="F6" s="87"/>
      <c r="G6" s="87"/>
      <c r="H6" s="1" t="s">
        <v>27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28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4022618</v>
      </c>
      <c r="D11" s="198">
        <f>Inputs!D48</f>
        <v>0.9</v>
      </c>
      <c r="E11" s="88">
        <f t="shared" ref="E11:E22" si="0">C11*D11</f>
        <v>3620356.2</v>
      </c>
      <c r="F11" s="112"/>
      <c r="G11" s="87"/>
      <c r="H11" s="3" t="s">
        <v>36</v>
      </c>
      <c r="I11" s="40">
        <f>Inputs!C73</f>
        <v>30697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143877</v>
      </c>
      <c r="J12" s="87"/>
      <c r="K12" s="24"/>
    </row>
    <row r="13" spans="1:11" ht="13.9" x14ac:dyDescent="0.4">
      <c r="B13" s="3" t="s">
        <v>114</v>
      </c>
      <c r="C13" s="40">
        <f>Inputs!C50</f>
        <v>649112</v>
      </c>
      <c r="D13" s="198">
        <f>Inputs!D50</f>
        <v>0.6</v>
      </c>
      <c r="E13" s="88">
        <f t="shared" si="0"/>
        <v>389467.2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222396</v>
      </c>
      <c r="J14" s="87"/>
      <c r="K14" s="27"/>
    </row>
    <row r="15" spans="1:11" ht="13.9" x14ac:dyDescent="0.4">
      <c r="B15" s="3" t="s">
        <v>41</v>
      </c>
      <c r="C15" s="40">
        <f>Inputs!C52</f>
        <v>171402</v>
      </c>
      <c r="D15" s="198">
        <f>Inputs!D52</f>
        <v>0.5</v>
      </c>
      <c r="E15" s="88">
        <f t="shared" si="0"/>
        <v>85701</v>
      </c>
      <c r="F15" s="112"/>
      <c r="G15" s="87"/>
      <c r="H15" s="1" t="s">
        <v>51</v>
      </c>
      <c r="I15" s="84">
        <f>SUM(I11:I14)</f>
        <v>396970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52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53</v>
      </c>
      <c r="I25" s="63">
        <f>E28/I28</f>
        <v>3.2995294240863009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16</v>
      </c>
      <c r="I28" s="206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1075543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1679438</v>
      </c>
      <c r="J31" s="87"/>
    </row>
    <row r="32" spans="2:10" ht="15" customHeight="1" x14ac:dyDescent="0.4">
      <c r="B32" s="3" t="s">
        <v>62</v>
      </c>
      <c r="C32" s="40">
        <f>Inputs!C62</f>
        <v>4626423</v>
      </c>
      <c r="D32" s="198">
        <f>Inputs!D62</f>
        <v>0.5</v>
      </c>
      <c r="E32" s="88">
        <f t="shared" si="1"/>
        <v>2313211.5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89231</v>
      </c>
      <c r="J33" s="87"/>
    </row>
    <row r="34" spans="2:10" ht="13.9" x14ac:dyDescent="0.4">
      <c r="B34" s="3" t="s">
        <v>65</v>
      </c>
      <c r="C34" s="40">
        <f>Inputs!C64</f>
        <v>103165</v>
      </c>
      <c r="D34" s="198">
        <f>Inputs!D64</f>
        <v>0.4</v>
      </c>
      <c r="E34" s="88">
        <f t="shared" si="1"/>
        <v>41266</v>
      </c>
      <c r="F34" s="112"/>
      <c r="G34" s="87"/>
      <c r="H34" s="1" t="s">
        <v>75</v>
      </c>
      <c r="I34" s="84">
        <f>SUM(I30:I33)</f>
        <v>2844212</v>
      </c>
      <c r="J34" s="87"/>
    </row>
    <row r="35" spans="2:10" ht="13.9" x14ac:dyDescent="0.4">
      <c r="B35" s="3" t="s">
        <v>67</v>
      </c>
      <c r="C35" s="40">
        <f>Inputs!C65</f>
        <v>781196</v>
      </c>
      <c r="D35" s="198">
        <f>Inputs!D65</f>
        <v>0.1</v>
      </c>
      <c r="E35" s="88">
        <f t="shared" si="1"/>
        <v>78119.600000000006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875642</v>
      </c>
      <c r="D36" s="198">
        <f>Inputs!D66</f>
        <v>0.2</v>
      </c>
      <c r="E36" s="88">
        <f t="shared" si="1"/>
        <v>175128.40000000002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2545809</v>
      </c>
      <c r="D38" s="198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23095</v>
      </c>
      <c r="D41" s="198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553636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78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80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82</v>
      </c>
      <c r="I48" s="207">
        <f>Inputs!C82</f>
        <v>2955970</v>
      </c>
      <c r="J48" s="8"/>
    </row>
    <row r="49" spans="2:11" ht="15" customHeight="1" thickTop="1" x14ac:dyDescent="0.4">
      <c r="B49" s="3" t="s">
        <v>14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83</v>
      </c>
      <c r="I49" s="52">
        <f>I28+I48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3241182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4022618</v>
      </c>
      <c r="D62" s="107">
        <f t="shared" si="2"/>
        <v>0.9</v>
      </c>
      <c r="E62" s="118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883478</v>
      </c>
      <c r="D74" s="209"/>
      <c r="E74" s="238">
        <f>Inputs!E91</f>
        <v>883478</v>
      </c>
      <c r="F74" s="209"/>
      <c r="H74" s="238">
        <f>Inputs!F91</f>
        <v>883478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523759</v>
      </c>
      <c r="D75" s="159">
        <f>C75/$C$74</f>
        <v>0.59283762583788169</v>
      </c>
      <c r="E75" s="238">
        <f>Inputs!E92</f>
        <v>523759.00000000006</v>
      </c>
      <c r="F75" s="160">
        <f>E75/E74</f>
        <v>0.59283762583788169</v>
      </c>
      <c r="H75" s="238">
        <f>Inputs!F92</f>
        <v>523759.00000000006</v>
      </c>
      <c r="I75" s="160">
        <f>H75/$H$74</f>
        <v>0.59283762583788169</v>
      </c>
      <c r="K75" s="24"/>
    </row>
    <row r="76" spans="1:11" ht="15" customHeight="1" x14ac:dyDescent="0.4">
      <c r="B76" s="35" t="s">
        <v>93</v>
      </c>
      <c r="C76" s="161">
        <f>C74-C75</f>
        <v>359719</v>
      </c>
      <c r="D76" s="210"/>
      <c r="E76" s="162">
        <f>E74-E75</f>
        <v>359718.99999999994</v>
      </c>
      <c r="F76" s="210"/>
      <c r="H76" s="162">
        <f>H74-H75</f>
        <v>359718.99999999994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299979</v>
      </c>
      <c r="D77" s="159">
        <f>C77/$C$74</f>
        <v>0.33954325970765542</v>
      </c>
      <c r="E77" s="238">
        <f>Inputs!E93</f>
        <v>299979</v>
      </c>
      <c r="F77" s="160">
        <f>E77/E74</f>
        <v>0.33954325970765542</v>
      </c>
      <c r="H77" s="238">
        <f>Inputs!F93</f>
        <v>299979</v>
      </c>
      <c r="I77" s="160">
        <f>H77/$H$74</f>
        <v>0.33954325970765542</v>
      </c>
      <c r="K77" s="24"/>
    </row>
    <row r="78" spans="1:11" ht="15" customHeight="1" x14ac:dyDescent="0.4">
      <c r="B78" s="73" t="s">
        <v>168</v>
      </c>
      <c r="C78" s="77">
        <f>MAX(Data!C12,0)</f>
        <v>74640</v>
      </c>
      <c r="D78" s="159">
        <f>C78/$C$74</f>
        <v>8.4484276914648701E-2</v>
      </c>
      <c r="E78" s="180">
        <f>E74*F78</f>
        <v>74640</v>
      </c>
      <c r="F78" s="160">
        <f>I78</f>
        <v>8.4484276914648701E-2</v>
      </c>
      <c r="H78" s="238">
        <f>Inputs!F97</f>
        <v>74640</v>
      </c>
      <c r="I78" s="160">
        <f>H78/$H$74</f>
        <v>8.4484276914648701E-2</v>
      </c>
      <c r="K78" s="24"/>
    </row>
    <row r="79" spans="1:11" ht="15" customHeight="1" x14ac:dyDescent="0.4">
      <c r="B79" s="256" t="s">
        <v>228</v>
      </c>
      <c r="C79" s="257">
        <f>C76-C77-C78</f>
        <v>-14900</v>
      </c>
      <c r="D79" s="258">
        <f>C79/C74</f>
        <v>-1.6865162460185767E-2</v>
      </c>
      <c r="E79" s="259">
        <f>E76-E77-E78</f>
        <v>-14900.000000000058</v>
      </c>
      <c r="F79" s="258">
        <f>E79/E74</f>
        <v>-1.6865162460185833E-2</v>
      </c>
      <c r="G79" s="260"/>
      <c r="H79" s="259">
        <f>H76-H77-H78</f>
        <v>-14900.000000000058</v>
      </c>
      <c r="I79" s="258">
        <f>H79/H74</f>
        <v>-1.6865162460185833E-2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105689</v>
      </c>
      <c r="D81" s="159">
        <f>C81/$C$74</f>
        <v>0.11962833256742103</v>
      </c>
      <c r="E81" s="180">
        <f>E74*F81</f>
        <v>105689</v>
      </c>
      <c r="F81" s="160">
        <f>I81</f>
        <v>0.11962833256742103</v>
      </c>
      <c r="H81" s="238">
        <f>Inputs!F94</f>
        <v>105689</v>
      </c>
      <c r="I81" s="160">
        <f>H81/$H$74</f>
        <v>0.11962833256742103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-120589</v>
      </c>
      <c r="D83" s="164">
        <f>C83/$C$74</f>
        <v>-0.1364934950276068</v>
      </c>
      <c r="E83" s="165">
        <f>E79-E81-E82-E80</f>
        <v>-120589.00000000006</v>
      </c>
      <c r="F83" s="164">
        <f>E83/E74</f>
        <v>-0.13649349502760685</v>
      </c>
      <c r="H83" s="165">
        <f>H79-H81-H82-H80</f>
        <v>-120589.00000000006</v>
      </c>
      <c r="I83" s="164">
        <f>H83/$H$74</f>
        <v>-0.13649349502760685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-90441.75</v>
      </c>
      <c r="D85" s="258">
        <f>C85/$C$74</f>
        <v>-0.10237012127070511</v>
      </c>
      <c r="E85" s="264">
        <f>E83*(1-F84)</f>
        <v>-90441.750000000044</v>
      </c>
      <c r="F85" s="258">
        <f>E85/E74</f>
        <v>-0.10237012127070515</v>
      </c>
      <c r="G85" s="260"/>
      <c r="H85" s="264">
        <f>H83*(1-I84)</f>
        <v>-90441.750000000044</v>
      </c>
      <c r="I85" s="258">
        <f>H85/$H$74</f>
        <v>-0.10237012127070515</v>
      </c>
      <c r="K85" s="24"/>
    </row>
    <row r="86" spans="1:11" ht="15" customHeight="1" x14ac:dyDescent="0.4">
      <c r="B86" s="87" t="s">
        <v>156</v>
      </c>
      <c r="C86" s="167">
        <f>C85*Data!C4/Common_Shares</f>
        <v>-1.2413060436775578E-2</v>
      </c>
      <c r="D86" s="209"/>
      <c r="E86" s="168">
        <f>E85*Data!C4/Common_Shares</f>
        <v>-1.2413060436775583E-2</v>
      </c>
      <c r="F86" s="209"/>
      <c r="H86" s="168">
        <f>H85*Data!C4/Common_Shares</f>
        <v>-1.2413060436775583E-2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-1.2538444885631897E-2</v>
      </c>
      <c r="D87" s="209"/>
      <c r="E87" s="262">
        <f>E86*Exchange_Rate/Dashboard!G3</f>
        <v>-1.2538444885631902E-2</v>
      </c>
      <c r="F87" s="209"/>
      <c r="H87" s="262">
        <f>H86*Exchange_Rate/Dashboard!G3</f>
        <v>-1.2538444885631902E-2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5.4800000000000001E-2</v>
      </c>
      <c r="D88" s="166">
        <f>C88/C86</f>
        <v>-4.4147050019708818</v>
      </c>
      <c r="E88" s="170">
        <f>Inputs!E98</f>
        <v>5.4800000000000001E-2</v>
      </c>
      <c r="F88" s="166">
        <f>E88/E86</f>
        <v>-4.41470500197088</v>
      </c>
      <c r="H88" s="170">
        <f>Inputs!F98</f>
        <v>5.4800000000000001E-2</v>
      </c>
      <c r="I88" s="166">
        <f>H88/H86</f>
        <v>-4.41470500197088</v>
      </c>
      <c r="K88" s="24"/>
    </row>
    <row r="89" spans="1:11" ht="15" customHeight="1" x14ac:dyDescent="0.4">
      <c r="B89" s="87" t="s">
        <v>217</v>
      </c>
      <c r="C89" s="261">
        <f>C88*Exchange_Rate/Dashboard!G3</f>
        <v>5.5353535353535356E-2</v>
      </c>
      <c r="D89" s="209"/>
      <c r="E89" s="261">
        <f>E88*Exchange_Rate/Dashboard!G3</f>
        <v>5.5353535353535356E-2</v>
      </c>
      <c r="F89" s="209"/>
      <c r="H89" s="261">
        <f>H88*Exchange_Rate/Dashboard!G3</f>
        <v>5.5353535353535356E-2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-0.17591139328021752</v>
      </c>
      <c r="H93" s="87" t="s">
        <v>205</v>
      </c>
      <c r="I93" s="144">
        <f>FV(H87,D93,0,-(H86/(C93-D94)))*Exchange_Rate</f>
        <v>-0.17591139328021752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1.0828904471348488</v>
      </c>
      <c r="H94" s="87" t="s">
        <v>206</v>
      </c>
      <c r="I94" s="144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-637228.00479046057</v>
      </c>
      <c r="D97" s="213"/>
      <c r="E97" s="123">
        <f>PV(C94,D93,0,-F93)</f>
        <v>-8.7459052212832067E-2</v>
      </c>
      <c r="F97" s="213"/>
      <c r="H97" s="123">
        <f>PV(C94,D93,0,-I93)</f>
        <v>-8.7459052212832067E-2</v>
      </c>
      <c r="I97" s="123">
        <f>PV(C93,D93,0,-I93)</f>
        <v>-0.11631748975098966</v>
      </c>
      <c r="K97" s="24"/>
    </row>
    <row r="98" spans="2:11" ht="15" customHeight="1" x14ac:dyDescent="0.4">
      <c r="B98" s="28" t="s">
        <v>141</v>
      </c>
      <c r="C98" s="91">
        <f>-E53*Exchange_Rate</f>
        <v>-99525</v>
      </c>
      <c r="D98" s="213"/>
      <c r="E98" s="213"/>
      <c r="F98" s="213"/>
      <c r="H98" s="123">
        <f>C98*Data!$C$4/Common_Shares</f>
        <v>-1.365972949406761E-2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2781401.3000000007</v>
      </c>
      <c r="D99" s="214"/>
      <c r="E99" s="145">
        <f>IF(H99&gt;0,H99*(1-C94),H99*(1+C94))</f>
        <v>0.324483405843565</v>
      </c>
      <c r="F99" s="214"/>
      <c r="H99" s="145">
        <f>C99*Data!$C$4/Common_Shares</f>
        <v>0.38174518334537061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2044648.2952095401</v>
      </c>
      <c r="D100" s="109">
        <f>MIN(F100*(1-C94),E100)</f>
        <v>0.21419618595443285</v>
      </c>
      <c r="E100" s="109">
        <f>MAX(E97+H98+E99,0)</f>
        <v>0.2233646241366653</v>
      </c>
      <c r="F100" s="109">
        <f>(E100+H100)/2</f>
        <v>0.25199551288756805</v>
      </c>
      <c r="H100" s="109">
        <f>MAX(C100*Data!$C$4/Common_Shares,0)</f>
        <v>0.28062640163847086</v>
      </c>
      <c r="I100" s="109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3922702.8230921892</v>
      </c>
      <c r="D103" s="109">
        <f>MIN(F103*(1-C94),E103)</f>
        <v>0.45762974661337813</v>
      </c>
      <c r="E103" s="123">
        <f>PV(C94,D93,0,-F94)</f>
        <v>0.53838793719220956</v>
      </c>
      <c r="F103" s="109">
        <f>(E103+H103)/2</f>
        <v>0.53838793719220956</v>
      </c>
      <c r="H103" s="123">
        <f>PV(C94,D93,0,-I94)</f>
        <v>0.53838793719220956</v>
      </c>
      <c r="I103" s="109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2775070.4616508647</v>
      </c>
      <c r="D106" s="109">
        <f>(D100+D103)/2</f>
        <v>0.33591296628390549</v>
      </c>
      <c r="E106" s="123">
        <f>(E100+E103)/2</f>
        <v>0.38087628066443746</v>
      </c>
      <c r="F106" s="109">
        <f>(F100+F103)/2</f>
        <v>0.39519172503988881</v>
      </c>
      <c r="H106" s="123">
        <f>(H100+H103)/2</f>
        <v>0.40950716941534021</v>
      </c>
      <c r="I106" s="123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