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701313F-F915-4F80-A82F-29C301C4BEEC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5" i="4" l="1"/>
  <c r="F94" i="4"/>
  <c r="F93" i="4"/>
  <c r="F92" i="4"/>
  <c r="F91" i="4"/>
  <c r="F97" i="4" s="1"/>
  <c r="E91" i="4"/>
  <c r="E93" i="4" s="1"/>
  <c r="D69" i="4"/>
  <c r="D68" i="4"/>
  <c r="C68" i="4"/>
  <c r="D67" i="4"/>
  <c r="C65" i="4"/>
  <c r="D62" i="4"/>
  <c r="D63" i="4" s="1"/>
  <c r="D61" i="4"/>
  <c r="C61" i="4"/>
  <c r="D60" i="4"/>
  <c r="D59" i="4"/>
  <c r="D58" i="4"/>
  <c r="D71" i="4" s="1"/>
  <c r="D56" i="4"/>
  <c r="D55" i="4"/>
  <c r="D53" i="4"/>
  <c r="C52" i="4"/>
  <c r="C51" i="4"/>
  <c r="D50" i="4"/>
  <c r="C48" i="4"/>
  <c r="D44" i="4"/>
  <c r="C44" i="4"/>
  <c r="D43" i="4"/>
  <c r="D40" i="4"/>
  <c r="D39" i="4"/>
  <c r="D35" i="4"/>
  <c r="D27" i="4"/>
  <c r="C27" i="4"/>
  <c r="B7" i="3"/>
  <c r="M53" i="2"/>
  <c r="F95" i="4" l="1"/>
  <c r="F96" i="4"/>
  <c r="E92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F98" i="4" s="1"/>
  <c r="E98" i="4" s="1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M27" i="2" l="1"/>
  <c r="M55" i="2"/>
  <c r="K27" i="2"/>
  <c r="K55" i="2"/>
  <c r="I27" i="2"/>
  <c r="I55" i="2"/>
  <c r="J27" i="2"/>
  <c r="J55" i="2"/>
  <c r="J53" i="2"/>
  <c r="K50" i="2"/>
  <c r="H53" i="2"/>
  <c r="I50" i="2"/>
  <c r="E53" i="2"/>
  <c r="F50" i="2"/>
  <c r="F53" i="2"/>
  <c r="G50" i="2"/>
  <c r="K53" i="2"/>
  <c r="L50" i="2"/>
  <c r="D53" i="2"/>
  <c r="E50" i="2"/>
  <c r="I53" i="2"/>
  <c r="J50" i="2"/>
  <c r="G53" i="2"/>
  <c r="H50" i="2"/>
  <c r="C53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E27" i="2"/>
  <c r="E39" i="2" s="1"/>
  <c r="D52" i="2"/>
  <c r="H35" i="2"/>
  <c r="D51" i="2"/>
  <c r="G35" i="2"/>
  <c r="F35" i="2"/>
  <c r="D27" i="2"/>
  <c r="D39" i="2" s="1"/>
  <c r="D50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D55" i="2" l="1"/>
  <c r="F22" i="2"/>
  <c r="F61" i="2" s="1"/>
  <c r="F60" i="2"/>
  <c r="K15" i="2"/>
  <c r="L60" i="2"/>
  <c r="D22" i="2"/>
  <c r="D61" i="2" s="1"/>
  <c r="D60" i="2"/>
  <c r="L15" i="2"/>
  <c r="M60" i="2"/>
  <c r="G22" i="2"/>
  <c r="G61" i="2" s="1"/>
  <c r="G60" i="2"/>
  <c r="E22" i="2"/>
  <c r="E61" i="2" s="1"/>
  <c r="E60" i="2"/>
  <c r="J15" i="2"/>
  <c r="K60" i="2"/>
  <c r="H103" i="3"/>
  <c r="I103" i="3"/>
  <c r="D93" i="4"/>
  <c r="D97" i="4"/>
  <c r="D92" i="4"/>
  <c r="C22" i="2"/>
  <c r="F3" i="2"/>
  <c r="H22" i="2"/>
  <c r="H61" i="2" s="1"/>
  <c r="M13" i="2"/>
  <c r="M59" i="2" s="1"/>
  <c r="F15" i="2"/>
  <c r="H15" i="2"/>
  <c r="G15" i="2"/>
  <c r="C15" i="2"/>
  <c r="H74" i="3" s="1"/>
  <c r="D56" i="2"/>
  <c r="G57" i="2"/>
  <c r="D15" i="2"/>
  <c r="E15" i="2"/>
  <c r="K13" i="2"/>
  <c r="E13" i="2"/>
  <c r="L13" i="2"/>
  <c r="L59" i="2" s="1"/>
  <c r="E40" i="2"/>
  <c r="G13" i="2"/>
  <c r="G59" i="2" s="1"/>
  <c r="E57" i="2"/>
  <c r="D40" i="2"/>
  <c r="D13" i="2"/>
  <c r="D59" i="2" s="1"/>
  <c r="G40" i="2"/>
  <c r="K56" i="2"/>
  <c r="L24" i="2"/>
  <c r="L23" i="2" s="1"/>
  <c r="M57" i="2"/>
  <c r="M56" i="2"/>
  <c r="K59" i="2" l="1"/>
  <c r="E59" i="2"/>
  <c r="H75" i="3"/>
  <c r="H77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F94" i="3" l="1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C70" i="3"/>
  <c r="D70" i="3" s="1"/>
  <c r="C39" i="2"/>
  <c r="D49" i="3"/>
  <c r="D68" i="3"/>
  <c r="D4" i="3"/>
  <c r="C53" i="3" s="1"/>
  <c r="C36" i="2"/>
  <c r="J28" i="3"/>
  <c r="C40" i="2" l="1"/>
  <c r="C50" i="2"/>
  <c r="C60" i="2"/>
  <c r="C61" i="2"/>
  <c r="E99" i="3"/>
  <c r="G23" i="1"/>
  <c r="E53" i="3" s="1"/>
  <c r="C27" i="2"/>
  <c r="C37" i="2"/>
  <c r="C55" i="2" s="1"/>
  <c r="C59" i="2" l="1"/>
  <c r="C98" i="3"/>
  <c r="H98" i="3" s="1"/>
  <c r="D6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<sst xmlns="http://schemas.openxmlformats.org/spreadsheetml/2006/main" count="393" uniqueCount="275">
  <si>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</si>
  <si>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</si>
  <si>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</si>
  <si>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</si>
  <si>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</si>
  <si>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</si>
  <si>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</si>
  <si>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</si>
  <si>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</si>
  <si>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</si>
  <si>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</si>
  <si>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</si>
  <si>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</si>
  <si>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</si>
  <si>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</si>
  <si>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</si>
  <si>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</si>
  <si>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</si>
  <si>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</si>
  <si>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</si>
  <si>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</si>
  <si>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</si>
  <si>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</si>
  <si>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</si>
  <si>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</si>
  <si>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</si>
  <si>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</si>
  <si>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</si>
  <si>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</si>
  <si>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</si>
  <si>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</si>
  <si>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</si>
  <si>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</si>
  <si>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</si>
  <si>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</si>
  <si>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</si>
  <si>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</si>
  <si>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</si>
  <si>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</si>
  <si>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</si>
  <si>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</si>
  <si>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</si>
  <si>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</si>
  <si>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</si>
  <si>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</si>
  <si>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</si>
  <si>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</si>
  <si>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</si>
  <si>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</si>
  <si>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</si>
  <si>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</si>
  <si>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</si>
  <si>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</si>
  <si>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</si>
  <si>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</si>
  <si>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</si>
  <si>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</si>
  <si>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</si>
  <si>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</si>
  <si>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</si>
  <si>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</si>
  <si>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</si>
  <si>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</si>
  <si>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</si>
  <si>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</si>
  <si>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</si>
  <si>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</si>
  <si>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</si>
  <si>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</si>
  <si>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</si>
  <si>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</si>
  <si>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</si>
  <si>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</si>
  <si>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</si>
  <si>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</si>
  <si>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</si>
  <si>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</si>
  <si>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</si>
  <si>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</si>
  <si>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</si>
  <si>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</si>
  <si>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</si>
  <si>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</si>
  <si>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</si>
  <si>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</si>
  <si>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</si>
  <si>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</si>
  <si>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</si>
  <si>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</si>
  <si>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</si>
  <si>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</si>
  <si>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</si>
  <si>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</si>
  <si>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</si>
  <si>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</si>
  <si>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</si>
  <si>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</si>
  <si>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</si>
  <si>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</si>
  <si>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</si>
  <si>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</si>
  <si>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</si>
  <si>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</si>
  <si>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</si>
  <si>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</si>
  <si>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</si>
  <si>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</si>
  <si>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</si>
  <si>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</si>
  <si>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</si>
  <si>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</si>
  <si>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</si>
  <si>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</si>
  <si>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</si>
  <si>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</si>
  <si>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</si>
  <si>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</si>
  <si>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</si>
  <si>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</si>
  <si>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</si>
  <si>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</si>
  <si>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</si>
  <si>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</si>
  <si>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</si>
  <si>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</si>
  <si>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</si>
  <si>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</si>
  <si>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</si>
  <si>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</si>
  <si>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</si>
  <si>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</si>
  <si>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</si>
  <si>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</si>
  <si>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</si>
  <si>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</si>
  <si>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</si>
  <si>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</si>
  <si>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</si>
  <si>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</si>
  <si>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</si>
  <si>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</si>
  <si>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</si>
  <si>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</si>
  <si>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</si>
  <si>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</si>
  <si>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</si>
  <si>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</si>
  <si>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</si>
  <si>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</si>
  <si>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</si>
  <si>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</si>
  <si>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</si>
  <si>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</si>
  <si>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</si>
  <si>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</si>
  <si>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</si>
  <si>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</si>
  <si>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</si>
  <si>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</si>
  <si>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</si>
  <si>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</si>
  <si>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</si>
  <si>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</si>
  <si>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</si>
  <si>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</si>
  <si>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</si>
  <si>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</si>
  <si>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</si>
  <si>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</si>
  <si>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</si>
  <si>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</si>
  <si>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</si>
  <si>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</si>
  <si>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</si>
  <si>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</si>
  <si>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</si>
  <si>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</si>
  <si>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</si>
  <si>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</si>
  <si>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</si>
  <si>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</si>
  <si>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</si>
  <si>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</si>
  <si>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</si>
  <si>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</si>
  <si>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</si>
  <si>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</si>
  <si>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</si>
  <si>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</si>
  <si>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</si>
  <si>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</si>
  <si>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</si>
  <si>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</si>
  <si>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</si>
  <si>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</si>
  <si>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</si>
  <si>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</si>
  <si>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</si>
  <si>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</si>
  <si>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</si>
  <si>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</si>
  <si>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</si>
  <si>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</si>
  <si>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</si>
  <si>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</si>
  <si>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</si>
  <si>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</si>
  <si>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</si>
  <si>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</si>
  <si>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</si>
  <si>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</si>
  <si>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</si>
  <si>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</si>
  <si>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</si>
  <si>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</si>
  <si>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</si>
  <si>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</si>
  <si>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</si>
  <si>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</si>
  <si>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</si>
  <si>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</si>
  <si>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</si>
  <si>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</si>
  <si>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</si>
  <si>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</si>
  <si>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</si>
  <si>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</si>
  <si>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</si>
  <si>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</si>
  <si>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</si>
  <si>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</si>
  <si>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</si>
  <si>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</si>
  <si>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</si>
  <si>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</si>
  <si>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</si>
  <si>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</si>
  <si>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</si>
  <si>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</si>
  <si>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</si>
  <si>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</si>
  <si>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</si>
  <si>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</si>
  <si>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</si>
  <si>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</si>
  <si>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</si>
  <si>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</si>
  <si>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</si>
  <si>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</si>
  <si>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</si>
  <si>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</si>
  <si>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</si>
  <si>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</si>
  <si>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</si>
  <si>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</si>
  <si>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</si>
  <si>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</si>
  <si>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</si>
  <si>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</si>
  <si>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</si>
  <si>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</si>
  <si>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</si>
  <si>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Sales/Op_Assets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</si>
  <si>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</si>
  <si>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</si>
  <si>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</si>
  <si>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</si>
  <si>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0700.HK</t>
  </si>
  <si>
    <t>騰訊控股</t>
  </si>
  <si>
    <t xml:space="preserve">Superior Cycl. </t>
  </si>
  <si>
    <t>C0009</t>
  </si>
  <si>
    <t>CNY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</si>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</sst>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1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0.51871628777616319</c:v>
                </c:pt>
                <c:pt idx="1">
                  <c:v>0.22616191719415779</c:v>
                </c:pt>
                <c:pt idx="2">
                  <c:v>6.2001756935379264E-3</c:v>
                </c:pt>
                <c:pt idx="3">
                  <c:v>0</c:v>
                </c:pt>
                <c:pt idx="4">
                  <c:v>2.0144003021272054E-2</c:v>
                </c:pt>
                <c:pt idx="5">
                  <c:v>0</c:v>
                </c:pt>
                <c:pt idx="6">
                  <c:v>0.22877761631486909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209</v>
      </c>
    </row>
    <row r="4" spans="1:5" ht="13.9" x14ac:dyDescent="0.4">
      <c r="B4" s="141" t="s">
        <v>189</v>
      </c>
      <c r="C4" s="188" t="s">
        <v>267</v>
      </c>
    </row>
    <row r="5" spans="1:5" ht="13.9" x14ac:dyDescent="0.4">
      <c r="B5" s="141" t="s">
        <v>190</v>
      </c>
      <c r="C5" s="191" t="s">
        <v>268</v>
      </c>
    </row>
    <row r="6" spans="1:5" ht="13.9" x14ac:dyDescent="0.4">
      <c r="B6" s="141" t="s">
        <v>158</v>
      </c>
      <c r="C6" s="189">
        <v>45624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210</v>
      </c>
      <c r="C8" s="191" t="s">
        <v>269</v>
      </c>
      <c r="E8" s="267"/>
    </row>
    <row r="9" spans="1:5" ht="13.9" x14ac:dyDescent="0.4">
      <c r="B9" s="140" t="s">
        <v>211</v>
      </c>
      <c r="C9" s="192" t="s">
        <v>270</v>
      </c>
    </row>
    <row r="10" spans="1:5" ht="13.9" x14ac:dyDescent="0.4">
      <c r="B10" s="140" t="s">
        <v>212</v>
      </c>
      <c r="C10" s="193">
        <v>9267407258</v>
      </c>
    </row>
    <row r="11" spans="1:5" ht="13.9" x14ac:dyDescent="0.4">
      <c r="B11" s="140" t="s">
        <v>213</v>
      </c>
      <c r="C11" s="192" t="s">
        <v>271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214</v>
      </c>
      <c r="C14" s="219">
        <v>45473</v>
      </c>
    </row>
    <row r="15" spans="1:5" ht="13.9" x14ac:dyDescent="0.4">
      <c r="B15" s="218" t="s">
        <v>250</v>
      </c>
      <c r="C15" s="176" t="s">
        <v>254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219</v>
      </c>
      <c r="C17" s="242" t="s">
        <v>272</v>
      </c>
      <c r="D17" s="24"/>
    </row>
    <row r="18" spans="2:13" ht="13.9" x14ac:dyDescent="0.4">
      <c r="B18" s="240" t="s">
        <v>233</v>
      </c>
      <c r="C18" s="242" t="s">
        <v>240</v>
      </c>
      <c r="D18" s="24"/>
    </row>
    <row r="19" spans="2:13" ht="13.9" x14ac:dyDescent="0.4">
      <c r="B19" s="240" t="s">
        <v>234</v>
      </c>
      <c r="C19" s="242" t="s">
        <v>240</v>
      </c>
      <c r="D19" s="24"/>
    </row>
    <row r="20" spans="2:13" ht="13.9" x14ac:dyDescent="0.4">
      <c r="B20" s="241" t="s">
        <v>223</v>
      </c>
      <c r="C20" s="242" t="s">
        <v>240</v>
      </c>
      <c r="D20" s="24"/>
    </row>
    <row r="21" spans="2:13" ht="13.9" x14ac:dyDescent="0.4">
      <c r="B21" s="224" t="s">
        <v>226</v>
      </c>
      <c r="C21" s="242" t="s">
        <v>240</v>
      </c>
      <c r="D21" s="24"/>
    </row>
    <row r="22" spans="2:13" ht="78.75" x14ac:dyDescent="0.4">
      <c r="B22" s="226" t="s">
        <v>225</v>
      </c>
      <c r="C22" s="243" t="s">
        <v>273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609015</v>
      </c>
      <c r="D25" s="149">
        <v>554552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315906</v>
      </c>
      <c r="D26" s="150">
        <v>315806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f>34211+103525</f>
        <v>137736</v>
      </c>
      <c r="D27" s="150">
        <f>29229+106696</f>
        <v>135925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251</v>
      </c>
      <c r="C29" s="150">
        <v>12268</v>
      </c>
      <c r="D29" s="150">
        <v>9352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v>2832</v>
      </c>
      <c r="D30" s="150">
        <v>466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>
        <v>22554271</v>
      </c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113</v>
      </c>
      <c r="C35" s="217"/>
      <c r="D35" s="150">
        <f>431184</f>
        <v>431184</v>
      </c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144</v>
      </c>
      <c r="C36" s="217"/>
      <c r="D36" s="150">
        <v>2258059</v>
      </c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>
        <v>7382230</v>
      </c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112</v>
      </c>
      <c r="C38" s="217"/>
      <c r="D38" s="150">
        <v>2478102</v>
      </c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>
        <f>504914+87402</f>
        <v>592316</v>
      </c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>
        <f>872836+171260</f>
        <v>1044096</v>
      </c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133</v>
      </c>
      <c r="C41" s="217"/>
      <c r="D41" s="150">
        <v>26334346</v>
      </c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258</v>
      </c>
      <c r="C42" s="217"/>
      <c r="D42" s="150">
        <v>1389487</v>
      </c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132</v>
      </c>
      <c r="C43" s="217"/>
      <c r="D43" s="150">
        <f>211741+3338+99866+1800+540000+8670910+10440941</f>
        <v>19968596</v>
      </c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202</v>
      </c>
      <c r="C44" s="250">
        <f>3.4/Exchange_Rate</f>
        <v>3.1797701279964126</v>
      </c>
      <c r="D44" s="250">
        <f>2.4/Exchange_Rate</f>
        <v>2.2445436197621733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247</v>
      </c>
      <c r="C45" s="152">
        <f>IF(C44="","",C44*Exchange_Rate/Dashboard!$G$3)</f>
        <v>8.3497053045186644E-3</v>
      </c>
      <c r="D45" s="152">
        <f>IF(D44="","",D44*Exchange_Rate/Dashboard!$G$3)</f>
        <v>5.893909626719057E-3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244</v>
      </c>
      <c r="C47" s="194" t="s">
        <v>30</v>
      </c>
      <c r="D47" s="194" t="s">
        <v>191</v>
      </c>
      <c r="E47" s="111" t="s">
        <v>32</v>
      </c>
    </row>
    <row r="48" spans="2:13" ht="13.9" x14ac:dyDescent="0.4">
      <c r="B48" s="3" t="s">
        <v>34</v>
      </c>
      <c r="C48" s="59">
        <f>200090+153511</f>
        <v>353601</v>
      </c>
      <c r="D48" s="60">
        <v>0.9</v>
      </c>
      <c r="E48" s="112"/>
    </row>
    <row r="49" spans="2:5" ht="13.9" x14ac:dyDescent="0.4">
      <c r="B49" s="1" t="s">
        <v>131</v>
      </c>
      <c r="C49" s="59">
        <v>3408</v>
      </c>
      <c r="D49" s="60">
        <v>0.8</v>
      </c>
      <c r="E49" s="112"/>
    </row>
    <row r="50" spans="2:5" ht="13.9" x14ac:dyDescent="0.4">
      <c r="B50" s="3" t="s">
        <v>113</v>
      </c>
      <c r="C50" s="59">
        <v>52250</v>
      </c>
      <c r="D50" s="60">
        <f>D51</f>
        <v>0.6</v>
      </c>
      <c r="E50" s="112"/>
    </row>
    <row r="51" spans="2:5" ht="13.9" x14ac:dyDescent="0.4">
      <c r="B51" s="3" t="s">
        <v>38</v>
      </c>
      <c r="C51" s="59">
        <f>8864+850</f>
        <v>9714</v>
      </c>
      <c r="D51" s="60">
        <v>0.6</v>
      </c>
      <c r="E51" s="112"/>
    </row>
    <row r="52" spans="2:5" ht="13.9" x14ac:dyDescent="0.4">
      <c r="B52" s="3" t="s">
        <v>40</v>
      </c>
      <c r="C52" s="59">
        <f>5437</f>
        <v>5437</v>
      </c>
      <c r="D52" s="60">
        <v>0.5</v>
      </c>
      <c r="E52" s="112"/>
    </row>
    <row r="53" spans="2:5" ht="13.9" x14ac:dyDescent="0.4">
      <c r="B53" s="1" t="s">
        <v>153</v>
      </c>
      <c r="C53" s="59"/>
      <c r="D53" s="60">
        <f>D50</f>
        <v>0.6</v>
      </c>
      <c r="E53" s="112"/>
    </row>
    <row r="54" spans="2:5" ht="13.9" x14ac:dyDescent="0.4">
      <c r="B54" s="3" t="s">
        <v>256</v>
      </c>
      <c r="C54" s="59">
        <v>92844</v>
      </c>
      <c r="D54" s="60">
        <v>0.1</v>
      </c>
      <c r="E54" s="112"/>
    </row>
    <row r="55" spans="2:5" ht="13.9" x14ac:dyDescent="0.4">
      <c r="B55" s="3" t="s">
        <v>43</v>
      </c>
      <c r="C55" s="59">
        <v>4387</v>
      </c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116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>
        <v>51490</v>
      </c>
      <c r="D60" s="60">
        <f>D49</f>
        <v>0.8</v>
      </c>
      <c r="E60" s="112"/>
    </row>
    <row r="61" spans="2:5" ht="13.9" x14ac:dyDescent="0.4">
      <c r="B61" s="3" t="s">
        <v>59</v>
      </c>
      <c r="C61" s="59">
        <f>206848+253436</f>
        <v>460284</v>
      </c>
      <c r="D61" s="60">
        <f>D51</f>
        <v>0.6</v>
      </c>
      <c r="E61" s="112"/>
    </row>
    <row r="62" spans="2:5" ht="13.9" x14ac:dyDescent="0.4">
      <c r="B62" s="3" t="s">
        <v>61</v>
      </c>
      <c r="C62" s="59">
        <v>1144</v>
      </c>
      <c r="D62" s="60">
        <f>D52</f>
        <v>0.5</v>
      </c>
      <c r="E62" s="112"/>
    </row>
    <row r="63" spans="2:5" ht="13.9" x14ac:dyDescent="0.4">
      <c r="B63" s="1" t="s">
        <v>154</v>
      </c>
      <c r="C63" s="59"/>
      <c r="D63" s="60">
        <f>D62</f>
        <v>0.5</v>
      </c>
      <c r="E63" s="112"/>
    </row>
    <row r="64" spans="2:5" ht="13.9" x14ac:dyDescent="0.4">
      <c r="B64" s="3" t="s">
        <v>255</v>
      </c>
      <c r="C64" s="59"/>
      <c r="D64" s="60">
        <v>0.4</v>
      </c>
      <c r="E64" s="112"/>
    </row>
    <row r="65" spans="2:5" ht="13.9" x14ac:dyDescent="0.4">
      <c r="B65" s="3" t="s">
        <v>66</v>
      </c>
      <c r="C65" s="59">
        <f>262961+7221</f>
        <v>270182</v>
      </c>
      <c r="D65" s="60">
        <v>0.1</v>
      </c>
      <c r="E65" s="221" t="s">
        <v>67</v>
      </c>
    </row>
    <row r="66" spans="2:5" ht="13.9" x14ac:dyDescent="0.4">
      <c r="B66" s="3" t="s">
        <v>68</v>
      </c>
      <c r="C66" s="59">
        <v>659</v>
      </c>
      <c r="D66" s="60">
        <v>0.2</v>
      </c>
      <c r="E66" s="221" t="s">
        <v>67</v>
      </c>
    </row>
    <row r="67" spans="2:5" ht="13.9" x14ac:dyDescent="0.4">
      <c r="B67" s="1" t="s">
        <v>45</v>
      </c>
      <c r="C67" s="59">
        <v>13463</v>
      </c>
      <c r="D67" s="60">
        <f>D65</f>
        <v>0.1</v>
      </c>
      <c r="E67" s="221" t="s">
        <v>42</v>
      </c>
    </row>
    <row r="68" spans="2:5" ht="13.9" x14ac:dyDescent="0.4">
      <c r="B68" s="3" t="s">
        <v>115</v>
      </c>
      <c r="C68" s="59">
        <f>57195+23479+18800+27746</f>
        <v>127220</v>
      </c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>
        <v>177621</v>
      </c>
      <c r="D70" s="60">
        <v>0.05</v>
      </c>
      <c r="E70" s="112"/>
    </row>
    <row r="71" spans="2:5" ht="13.9" x14ac:dyDescent="0.4">
      <c r="B71" s="3" t="s">
        <v>71</v>
      </c>
      <c r="C71" s="59">
        <v>31266</v>
      </c>
      <c r="D71" s="60">
        <f>D58</f>
        <v>0.9</v>
      </c>
      <c r="E71" s="112"/>
    </row>
    <row r="72" spans="2:5" ht="14.25" thickBot="1" x14ac:dyDescent="0.45">
      <c r="B72" s="246" t="s">
        <v>72</v>
      </c>
      <c r="C72" s="247"/>
      <c r="D72" s="248">
        <v>0</v>
      </c>
      <c r="E72" s="249"/>
    </row>
    <row r="73" spans="2:5" ht="13.9" x14ac:dyDescent="0.4">
      <c r="B73" s="3" t="s">
        <v>35</v>
      </c>
      <c r="C73" s="59">
        <v>52462</v>
      </c>
    </row>
    <row r="74" spans="2:5" ht="13.9" x14ac:dyDescent="0.4">
      <c r="B74" s="3" t="s">
        <v>36</v>
      </c>
      <c r="C74" s="59">
        <v>5999</v>
      </c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>
        <v>387826</v>
      </c>
    </row>
    <row r="78" spans="2:5" ht="14.25" thickTop="1" x14ac:dyDescent="0.4">
      <c r="B78" s="3" t="s">
        <v>58</v>
      </c>
      <c r="C78" s="59">
        <v>152946</v>
      </c>
    </row>
    <row r="79" spans="2:5" ht="13.9" x14ac:dyDescent="0.4">
      <c r="B79" s="3" t="s">
        <v>60</v>
      </c>
      <c r="C79" s="59">
        <v>14979</v>
      </c>
    </row>
    <row r="80" spans="2:5" ht="13.9" x14ac:dyDescent="0.4">
      <c r="B80" s="3" t="s">
        <v>62</v>
      </c>
      <c r="C80" s="59">
        <v>0</v>
      </c>
    </row>
    <row r="81" spans="2:8" ht="13.9" x14ac:dyDescent="0.4">
      <c r="B81" s="86" t="s">
        <v>63</v>
      </c>
      <c r="C81" s="120">
        <v>86574</v>
      </c>
    </row>
    <row r="82" spans="2:8" ht="14.25" thickBot="1" x14ac:dyDescent="0.45">
      <c r="B82" s="80" t="s">
        <v>81</v>
      </c>
      <c r="C82" s="83">
        <v>339547</v>
      </c>
    </row>
    <row r="83" spans="2:8" ht="14.25" thickTop="1" x14ac:dyDescent="0.4">
      <c r="B83" s="73" t="s">
        <v>215</v>
      </c>
      <c r="C83" s="59">
        <v>860681</v>
      </c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245</v>
      </c>
      <c r="C86" s="197">
        <v>5</v>
      </c>
    </row>
    <row r="87" spans="2:8" ht="13.9" x14ac:dyDescent="0.4">
      <c r="B87" s="10" t="s">
        <v>243</v>
      </c>
      <c r="C87" s="236" t="s">
        <v>246</v>
      </c>
      <c r="D87" s="269">
        <v>0.02</v>
      </c>
    </row>
    <row r="89" spans="2:8" ht="13.5" x14ac:dyDescent="0.35">
      <c r="B89" s="106" t="s">
        <v>123</v>
      </c>
      <c r="C89" s="275">
        <f>C24</f>
        <v>45291</v>
      </c>
      <c r="D89" s="275"/>
      <c r="E89" s="89" t="s">
        <v>201</v>
      </c>
      <c r="F89" s="89" t="s">
        <v>200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6" t="s">
        <v>97</v>
      </c>
      <c r="D90" s="276"/>
      <c r="E90" s="235" t="s">
        <v>98</v>
      </c>
      <c r="F90" s="255" t="s">
        <v>98</v>
      </c>
    </row>
    <row r="91" spans="2:8" ht="13.9" x14ac:dyDescent="0.4">
      <c r="B91" s="3" t="s">
        <v>122</v>
      </c>
      <c r="C91" s="77">
        <f>C25</f>
        <v>609015</v>
      </c>
      <c r="D91" s="209"/>
      <c r="E91" s="251">
        <f>C91</f>
        <v>609015</v>
      </c>
      <c r="F91" s="251">
        <f>C91</f>
        <v>609015</v>
      </c>
    </row>
    <row r="92" spans="2:8" ht="13.9" x14ac:dyDescent="0.4">
      <c r="B92" s="104" t="s">
        <v>102</v>
      </c>
      <c r="C92" s="77">
        <f>C26</f>
        <v>315906</v>
      </c>
      <c r="D92" s="159">
        <f>C92/C91</f>
        <v>0.51871628777616319</v>
      </c>
      <c r="E92" s="252">
        <f>E91*D92</f>
        <v>315906</v>
      </c>
      <c r="F92" s="252">
        <f>F91*D92</f>
        <v>315906</v>
      </c>
    </row>
    <row r="93" spans="2:8" ht="13.9" x14ac:dyDescent="0.4">
      <c r="B93" s="104" t="s">
        <v>242</v>
      </c>
      <c r="C93" s="77">
        <f>C27+C28</f>
        <v>137736</v>
      </c>
      <c r="D93" s="159">
        <f>C93/C91</f>
        <v>0.22616191719415779</v>
      </c>
      <c r="E93" s="252">
        <f>E91*D93</f>
        <v>137736</v>
      </c>
      <c r="F93" s="252">
        <f>F91*D93</f>
        <v>137736</v>
      </c>
    </row>
    <row r="94" spans="2:8" ht="13.9" x14ac:dyDescent="0.4">
      <c r="B94" s="104" t="s">
        <v>251</v>
      </c>
      <c r="C94" s="77">
        <f>C29</f>
        <v>12268</v>
      </c>
      <c r="D94" s="159">
        <f>C94/C91</f>
        <v>2.0144003021272054E-2</v>
      </c>
      <c r="E94" s="253"/>
      <c r="F94" s="252">
        <f>F91*D94</f>
        <v>12268</v>
      </c>
    </row>
    <row r="95" spans="2:8" ht="13.9" x14ac:dyDescent="0.4">
      <c r="B95" s="28" t="s">
        <v>241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167</v>
      </c>
      <c r="C97" s="77">
        <f>MAX(C30,0)/(1-C16)</f>
        <v>3776</v>
      </c>
      <c r="D97" s="159">
        <f>C97/C91</f>
        <v>6.2001756935379264E-3</v>
      </c>
      <c r="E97" s="253"/>
      <c r="F97" s="252">
        <f>F91*D97</f>
        <v>3776</v>
      </c>
    </row>
    <row r="98" spans="2:7" ht="13.9" x14ac:dyDescent="0.4">
      <c r="B98" s="86" t="s">
        <v>202</v>
      </c>
      <c r="C98" s="237">
        <f>C44</f>
        <v>3.1797701279964126</v>
      </c>
      <c r="D98" s="266"/>
      <c r="E98" s="254">
        <f>F98</f>
        <v>3.1797701279964126</v>
      </c>
      <c r="F98" s="254">
        <f>C98</f>
        <v>3.1797701279964126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0700.HK : 騰訊控股</v>
      </c>
      <c r="D2" s="87"/>
      <c r="E2" s="7"/>
      <c r="F2" s="7"/>
      <c r="G2" s="86"/>
      <c r="H2" s="86"/>
    </row>
    <row r="3" spans="1:10" ht="15.75" customHeight="1" x14ac:dyDescent="0.4">
      <c r="B3" s="3" t="s">
        <v>189</v>
      </c>
      <c r="C3" s="281" t="str">
        <f>Inputs!C4</f>
        <v>0700.HK</v>
      </c>
      <c r="D3" s="282"/>
      <c r="E3" s="87"/>
      <c r="F3" s="3" t="s">
        <v>1</v>
      </c>
      <c r="G3" s="132">
        <v>407.2</v>
      </c>
      <c r="H3" s="134" t="s">
        <v>274</v>
      </c>
    </row>
    <row r="4" spans="1:10" ht="15.75" customHeight="1" x14ac:dyDescent="0.4">
      <c r="B4" s="35" t="s">
        <v>190</v>
      </c>
      <c r="C4" s="283" t="str">
        <f>Inputs!C5</f>
        <v>騰訊控股</v>
      </c>
      <c r="D4" s="284"/>
      <c r="E4" s="87"/>
      <c r="F4" s="3" t="s">
        <v>2</v>
      </c>
      <c r="G4" s="287">
        <f>Inputs!C10</f>
        <v>9267407258</v>
      </c>
      <c r="H4" s="287"/>
      <c r="I4" s="39"/>
    </row>
    <row r="5" spans="1:10" ht="15.75" customHeight="1" x14ac:dyDescent="0.4">
      <c r="B5" s="3" t="s">
        <v>158</v>
      </c>
      <c r="C5" s="285">
        <f>Inputs!C6</f>
        <v>45624</v>
      </c>
      <c r="D5" s="286"/>
      <c r="E5" s="34"/>
      <c r="F5" s="35" t="s">
        <v>96</v>
      </c>
      <c r="G5" s="279">
        <f>G3*G4/1000000</f>
        <v>3773688.2354576001</v>
      </c>
      <c r="H5" s="279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0" t="str">
        <f>Inputs!C11</f>
        <v>CNY</v>
      </c>
      <c r="H6" s="280"/>
      <c r="I6" s="38"/>
    </row>
    <row r="7" spans="1:10" ht="15.75" customHeight="1" x14ac:dyDescent="0.4">
      <c r="B7" s="86" t="s">
        <v>187</v>
      </c>
      <c r="C7" s="187" t="str">
        <f>Inputs!C8</f>
        <v xml:space="preserve">Superior Cycl. </v>
      </c>
      <c r="D7" s="187" t="str">
        <f>Inputs!C9</f>
        <v>C0009</v>
      </c>
      <c r="E7" s="87"/>
      <c r="F7" s="35" t="s">
        <v>5</v>
      </c>
      <c r="G7" s="133">
        <v>1.0692596832911174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185</v>
      </c>
      <c r="F9" s="143" t="s">
        <v>180</v>
      </c>
    </row>
    <row r="10" spans="1:10" ht="15.75" customHeight="1" x14ac:dyDescent="0.4">
      <c r="B10" s="1" t="s">
        <v>170</v>
      </c>
      <c r="C10" s="172">
        <v>4.2000000000000003E-2</v>
      </c>
      <c r="F10" s="110" t="s">
        <v>177</v>
      </c>
    </row>
    <row r="11" spans="1:10" ht="15.75" customHeight="1" thickBot="1" x14ac:dyDescent="0.45">
      <c r="B11" s="122" t="s">
        <v>174</v>
      </c>
      <c r="C11" s="173">
        <v>5.2299999999999999E-2</v>
      </c>
      <c r="D11" s="137" t="s">
        <v>184</v>
      </c>
      <c r="F11" s="110" t="s">
        <v>172</v>
      </c>
    </row>
    <row r="12" spans="1:10" ht="15.75" customHeight="1" thickTop="1" x14ac:dyDescent="0.4">
      <c r="B12" s="87" t="s">
        <v>248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171</v>
      </c>
      <c r="C14" s="172">
        <v>1.8100000000000002E-2</v>
      </c>
      <c r="F14" s="110" t="s">
        <v>176</v>
      </c>
    </row>
    <row r="15" spans="1:10" ht="15.75" customHeight="1" x14ac:dyDescent="0.4">
      <c r="B15" s="1" t="s">
        <v>181</v>
      </c>
      <c r="C15" s="172">
        <v>6.5000000000000002E-2</v>
      </c>
      <c r="F15" s="110" t="s">
        <v>175</v>
      </c>
    </row>
    <row r="16" spans="1:10" ht="15.75" customHeight="1" thickBot="1" x14ac:dyDescent="0.45">
      <c r="B16" s="122" t="s">
        <v>182</v>
      </c>
      <c r="C16" s="173">
        <v>0.16</v>
      </c>
      <c r="D16" s="265" t="str">
        <f>Inputs!C15</f>
        <v>CN</v>
      </c>
      <c r="F16" s="110" t="s">
        <v>173</v>
      </c>
    </row>
    <row r="17" spans="1:8" ht="15.75" customHeight="1" thickTop="1" x14ac:dyDescent="0.4">
      <c r="B17" s="87" t="s">
        <v>249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178</v>
      </c>
      <c r="C19" s="135" t="s">
        <v>48</v>
      </c>
      <c r="D19" s="87"/>
      <c r="E19" s="87"/>
      <c r="F19" s="142" t="s">
        <v>207</v>
      </c>
      <c r="G19" s="87"/>
      <c r="H19" s="87"/>
    </row>
    <row r="20" spans="1:8" ht="15.75" customHeight="1" x14ac:dyDescent="0.4">
      <c r="B20" s="137" t="s">
        <v>164</v>
      </c>
      <c r="C20" s="171">
        <f>Fin_Analysis!I75</f>
        <v>0.51871628777616319</v>
      </c>
      <c r="F20" s="87" t="s">
        <v>206</v>
      </c>
      <c r="G20" s="172">
        <v>0.15</v>
      </c>
    </row>
    <row r="21" spans="1:8" ht="15.75" customHeight="1" x14ac:dyDescent="0.4">
      <c r="B21" s="137" t="s">
        <v>239</v>
      </c>
      <c r="C21" s="171">
        <f>Fin_Analysis!I77</f>
        <v>0.22616191719415779</v>
      </c>
      <c r="F21" s="87"/>
      <c r="G21" s="29"/>
    </row>
    <row r="22" spans="1:8" ht="15.75" customHeight="1" x14ac:dyDescent="0.4">
      <c r="B22" s="137" t="s">
        <v>186</v>
      </c>
      <c r="C22" s="171">
        <f>Fin_Analysis!I78</f>
        <v>6.2001756935379264E-3</v>
      </c>
      <c r="F22" s="142" t="s">
        <v>179</v>
      </c>
    </row>
    <row r="23" spans="1:8" ht="15.75" customHeight="1" x14ac:dyDescent="0.4">
      <c r="B23" s="137" t="s">
        <v>166</v>
      </c>
      <c r="C23" s="171">
        <f>Fin_Analysis!I80</f>
        <v>0</v>
      </c>
      <c r="F23" s="140" t="s">
        <v>183</v>
      </c>
      <c r="G23" s="177">
        <f>G3/(Data!C36*Data!C4/Common_Shares*Exchange_Rate)</f>
        <v>3.8047269143945459</v>
      </c>
    </row>
    <row r="24" spans="1:8" ht="15.75" customHeight="1" x14ac:dyDescent="0.4">
      <c r="B24" s="137" t="s">
        <v>165</v>
      </c>
      <c r="C24" s="171">
        <f>Fin_Analysis!I81</f>
        <v>2.0144003021272054E-2</v>
      </c>
      <c r="F24" s="140" t="s">
        <v>253</v>
      </c>
      <c r="G24" s="268">
        <f>G3/(Fin_Analysis!H86*G7)</f>
        <v>33.773808961634096</v>
      </c>
    </row>
    <row r="25" spans="1:8" ht="15.75" customHeight="1" x14ac:dyDescent="0.4">
      <c r="B25" s="137" t="s">
        <v>238</v>
      </c>
      <c r="C25" s="171">
        <f>Fin_Analysis!I82</f>
        <v>0</v>
      </c>
      <c r="F25" s="140" t="s">
        <v>169</v>
      </c>
      <c r="G25" s="171">
        <f>Fin_Analysis!I88</f>
        <v>0.2820013518407562</v>
      </c>
    </row>
    <row r="26" spans="1:8" ht="15.75" customHeight="1" x14ac:dyDescent="0.4">
      <c r="B26" s="138" t="s">
        <v>168</v>
      </c>
      <c r="C26" s="171">
        <f>Fin_Analysis!I83</f>
        <v>0.22877761631486909</v>
      </c>
      <c r="F26" s="141" t="s">
        <v>188</v>
      </c>
      <c r="G26" s="178">
        <f>Fin_Analysis!H88*Exchange_Rate/G3</f>
        <v>8.3497053045186644E-3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161</v>
      </c>
      <c r="D28" s="43" t="s">
        <v>162</v>
      </c>
      <c r="E28" s="58"/>
      <c r="F28" s="53" t="s">
        <v>232</v>
      </c>
      <c r="G28" s="277" t="s">
        <v>252</v>
      </c>
      <c r="H28" s="277"/>
    </row>
    <row r="29" spans="1:8" ht="15.75" customHeight="1" x14ac:dyDescent="0.4">
      <c r="B29" s="87" t="s">
        <v>163</v>
      </c>
      <c r="C29" s="130">
        <f>IF(Fin_Analysis!C108="Profit",Fin_Analysis!D100,IF(Fin_Analysis!C108="Dividend",Fin_Analysis!D103,Fin_Analysis!D106))</f>
        <v>64.019471278268654</v>
      </c>
      <c r="D29" s="129">
        <f>G29*(1+G20)</f>
        <v>126.34101772533924</v>
      </c>
      <c r="E29" s="87"/>
      <c r="F29" s="131">
        <f>IF(Fin_Analysis!C108="Profit",Fin_Analysis!F100,IF(Fin_Analysis!C108="Dividend",Fin_Analysis!F103,Fin_Analysis!F106))</f>
        <v>75.317025033257238</v>
      </c>
      <c r="G29" s="278">
        <f>IF(Fin_Analysis!C108="Profit",Fin_Analysis!I100,IF(Fin_Analysis!C108="Dividend",Fin_Analysis!I103,Fin_Analysis!I106))</f>
        <v>109.86175454377326</v>
      </c>
      <c r="H29" s="278"/>
    </row>
    <row r="30" spans="1:8" ht="15.75" customHeight="1" x14ac:dyDescent="0.4"/>
    <row r="31" spans="1:8" ht="15.75" customHeight="1" x14ac:dyDescent="0.4">
      <c r="A31" s="5"/>
      <c r="B31" s="6" t="s">
        <v>217</v>
      </c>
      <c r="C31"/>
    </row>
    <row r="32" spans="1:8" ht="15.75" customHeight="1" x14ac:dyDescent="0.4">
      <c r="A32"/>
      <c r="B32" s="196" t="s">
        <v>218</v>
      </c>
      <c r="C32" s="224"/>
    </row>
    <row r="33" spans="1:3" ht="15.75" customHeight="1" x14ac:dyDescent="0.4">
      <c r="A33"/>
      <c r="B33" s="20" t="s">
        <v>219</v>
      </c>
      <c r="C33" s="245" t="str">
        <f>Inputs!C17</f>
        <v>agree</v>
      </c>
    </row>
    <row r="34" spans="1:3" ht="15.75" customHeight="1" x14ac:dyDescent="0.4">
      <c r="A34"/>
      <c r="B34" s="19" t="s">
        <v>220</v>
      </c>
      <c r="C34" s="225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Strongly agree</v>
      </c>
    </row>
    <row r="35" spans="1:3" ht="15.75" customHeight="1" x14ac:dyDescent="0.4">
      <c r="A35"/>
      <c r="B35" s="196" t="s">
        <v>221</v>
      </c>
      <c r="C35" s="224"/>
    </row>
    <row r="36" spans="1:3" ht="15.75" customHeight="1" x14ac:dyDescent="0.4">
      <c r="A36"/>
      <c r="B36" s="20" t="s">
        <v>233</v>
      </c>
      <c r="C36" s="245" t="str">
        <f>Inputs!C18</f>
        <v>unclear</v>
      </c>
    </row>
    <row r="37" spans="1:3" ht="15.75" customHeight="1" x14ac:dyDescent="0.4">
      <c r="A37"/>
      <c r="B37" s="20" t="s">
        <v>234</v>
      </c>
      <c r="C37" s="245" t="str">
        <f>Inputs!C19</f>
        <v>unclear</v>
      </c>
    </row>
    <row r="38" spans="1:3" ht="15.75" customHeight="1" x14ac:dyDescent="0.4">
      <c r="A38"/>
      <c r="B38" s="196" t="s">
        <v>222</v>
      </c>
      <c r="C38" s="224"/>
    </row>
    <row r="39" spans="1:3" ht="15.75" customHeight="1" x14ac:dyDescent="0.4">
      <c r="A39"/>
      <c r="B39" s="19" t="s">
        <v>223</v>
      </c>
      <c r="C39" s="245" t="str">
        <f>Inputs!C20</f>
        <v>unclear</v>
      </c>
    </row>
    <row r="40" spans="1:3" ht="15.75" customHeight="1" x14ac:dyDescent="0.4">
      <c r="A40"/>
      <c r="B40" s="1" t="s">
        <v>226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224</v>
      </c>
      <c r="C42"/>
    </row>
    <row r="43" spans="1:3" ht="65.650000000000006" x14ac:dyDescent="0.4">
      <c r="A43"/>
      <c r="B43" s="226" t="s">
        <v>225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4" sqref="C4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194</v>
      </c>
      <c r="F2" s="119" t="s">
        <v>197</v>
      </c>
      <c r="G2" s="148" t="s">
        <v>198</v>
      </c>
      <c r="H2" s="147" t="s">
        <v>199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195</v>
      </c>
      <c r="F3" s="85" t="str">
        <f>H14</f>
        <v/>
      </c>
      <c r="G3" s="85">
        <f>C14</f>
        <v>151597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196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609015</v>
      </c>
      <c r="D6" s="200">
        <f>IF(Inputs!D25="","",Inputs!D25)</f>
        <v>554552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9.8210808003577732E-2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315906</v>
      </c>
      <c r="D8" s="199">
        <f>IF(Inputs!D26="","",Inputs!D26)</f>
        <v>315806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293109</v>
      </c>
      <c r="D9" s="151">
        <f t="shared" si="2"/>
        <v>238746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137736</v>
      </c>
      <c r="D10" s="199">
        <f>IF(Inputs!D27="","",Inputs!D27)</f>
        <v>135925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235</v>
      </c>
      <c r="C12" s="199">
        <f>IF(Inputs!C30="","",MAX(Inputs!C30,0)/(1-Fin_Analysis!$I$84))</f>
        <v>3776</v>
      </c>
      <c r="D12" s="199">
        <f>IF(Inputs!D30="","",MAX(Inputs!D30,0)/(1-Fin_Analysis!$I$84))</f>
        <v>621.33333333333337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236</v>
      </c>
      <c r="C13" s="229">
        <f t="shared" ref="C13:M13" si="3">IF(C14="","",C14/C6)</f>
        <v>0.24892161933614115</v>
      </c>
      <c r="D13" s="229">
        <f t="shared" si="3"/>
        <v>0.18429230562087356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228</v>
      </c>
      <c r="C14" s="230">
        <f>IF(C6="","",C9-C10-MAX(C11,0)-MAX(C12,0))</f>
        <v>151597</v>
      </c>
      <c r="D14" s="230">
        <f t="shared" ref="D14:M14" si="4">IF(D6="","",D9-D10-MAX(D11,0)-MAX(D12,0))</f>
        <v>102199.66666666667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237</v>
      </c>
      <c r="C15" s="232">
        <f>IF(D14="","",IF(ABS(C14+D14)=ABS(C14)+ABS(D14),IF(C14&lt;0,-1,1)*(C14-D14)/D14,"Turn"))</f>
        <v>0.48334143294661752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251</v>
      </c>
      <c r="C17" s="199">
        <f>IF(Inputs!C29="","",Inputs!C29)</f>
        <v>12268</v>
      </c>
      <c r="D17" s="199">
        <f>IF(Inputs!D29="","",Inputs!D29)</f>
        <v>9352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230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139329</v>
      </c>
      <c r="D22" s="161">
        <f t="shared" ref="D22:M22" si="8">IF(D6="","",D14-MAX(D16,0)-MAX(D17,0)-ABS(MAX(D21,0)-MAX(D19,0)))</f>
        <v>92847.666666666672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0.17158321223615181</v>
      </c>
      <c r="D23" s="153">
        <f t="shared" si="9"/>
        <v>0.12557118178277241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104496.75</v>
      </c>
      <c r="D24" s="77">
        <f>IF(D6="","",D22*(1-Fin_Analysis!$I$84))</f>
        <v>69635.75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124</v>
      </c>
      <c r="C25" s="233">
        <f>IF(D24="","",IF(ABS(C24+D24)=ABS(C24)+ABS(D24),IF(C24&lt;0,-1,1)*(C24-D24)/D24,"Turn"))</f>
        <v>0.50061929396897431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1654970</v>
      </c>
      <c r="D27" s="65">
        <f t="shared" ref="D27:M27" si="20">IF(D36="","",D36+D31+D32)</f>
        <v>36194678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521641</v>
      </c>
      <c r="D28" s="199">
        <f>IF(Inputs!D34="","",Inputs!D34)</f>
        <v>22554271</v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113</v>
      </c>
      <c r="C29" s="65">
        <f>Fin_Analysis!C13</f>
        <v>52250</v>
      </c>
      <c r="D29" s="199">
        <f>IF(Inputs!D35="","",Inputs!D35)</f>
        <v>431184</v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144</v>
      </c>
      <c r="C30" s="65">
        <f>Fin_Analysis!C18</f>
        <v>4387</v>
      </c>
      <c r="D30" s="199">
        <f>IF(Inputs!D36="","",Inputs!D36)</f>
        <v>2258059</v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387826</v>
      </c>
      <c r="D31" s="199">
        <f>IF(Inputs!D37="","",Inputs!D37)</f>
        <v>7382230</v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112</v>
      </c>
      <c r="C32" s="65">
        <f>Fin_Analysis!I48</f>
        <v>339547</v>
      </c>
      <c r="D32" s="199">
        <f>IF(Inputs!D38="","",Inputs!D38)</f>
        <v>2478102</v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58461</v>
      </c>
      <c r="D33" s="199">
        <f>IF(Inputs!D39="","",Inputs!D39)</f>
        <v>592316</v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254499</v>
      </c>
      <c r="D34" s="199">
        <f>IF(Inputs!D40="","",Inputs!D40)</f>
        <v>1044096</v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312960</v>
      </c>
      <c r="D35" s="77">
        <f t="shared" ref="D35" si="22">IF(OR(D33="",D34=""),"",D33+D34)</f>
        <v>1636412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133</v>
      </c>
      <c r="C36" s="65">
        <f>Fin_Analysis!D3</f>
        <v>927597</v>
      </c>
      <c r="D36" s="199">
        <f>IF(Inputs!D41="","",Inputs!D41)</f>
        <v>26334346</v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134</v>
      </c>
      <c r="C37" s="65">
        <f>Fin_Analysis!D4</f>
        <v>66916</v>
      </c>
      <c r="D37" s="199">
        <f>IF(Inputs!D42="","",Inputs!D42)</f>
        <v>1389487</v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132</v>
      </c>
      <c r="C38" s="65">
        <f>Fin_Analysis!C63</f>
        <v>1152511</v>
      </c>
      <c r="D38" s="199">
        <f>IF(Inputs!D43="","",Inputs!D43)</f>
        <v>19968596</v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136</v>
      </c>
      <c r="C39" s="65">
        <f>Fin_Analysis!C68</f>
        <v>502459</v>
      </c>
      <c r="D39" s="65">
        <f>IF(D38="","",D27-D38)</f>
        <v>16226082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152</v>
      </c>
      <c r="C40" s="155">
        <f>IF(C6="","",C14/MAX(C39,0))</f>
        <v>0.30171018928907634</v>
      </c>
      <c r="D40" s="155">
        <f>IF(D6="","",D14/MAX(D39,0))</f>
        <v>6.2984808450164782E-3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259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94</v>
      </c>
      <c r="C42" s="156">
        <f t="shared" ref="C42:M42" si="34">IF(C6="","",C8/C6)</f>
        <v>0.51871628777616319</v>
      </c>
      <c r="D42" s="156">
        <f t="shared" si="34"/>
        <v>0.56947950778285894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229</v>
      </c>
      <c r="C43" s="153">
        <f t="shared" ref="C43:M43" si="35">IF(C6="","",(C10+MAX(C11,0))/C6)</f>
        <v>0.22616191719415779</v>
      </c>
      <c r="D43" s="153">
        <f t="shared" si="35"/>
        <v>0.2451077626624735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105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118</v>
      </c>
      <c r="C45" s="153">
        <f t="shared" ref="C45:M45" si="37">IF(C6="","",MAX(C17,0)/C6)</f>
        <v>2.0144003021272054E-2</v>
      </c>
      <c r="D45" s="153">
        <f t="shared" si="37"/>
        <v>1.686406324384368E-2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125</v>
      </c>
      <c r="C46" s="153">
        <f>IF(C6="","",MAX(C12,0)/C6)</f>
        <v>6.2001756935379264E-3</v>
      </c>
      <c r="D46" s="153">
        <f t="shared" ref="D46:M46" si="38">IF(D6="","",MAX(D12,0)/D6)</f>
        <v>1.1204239337940056E-3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231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120</v>
      </c>
      <c r="C48" s="153">
        <f t="shared" ref="C48:M48" si="40">IF(C6="","",C22/C6)</f>
        <v>0.22877761631486909</v>
      </c>
      <c r="D48" s="153">
        <f t="shared" si="40"/>
        <v>0.16742824237702988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262</v>
      </c>
      <c r="C50" s="272">
        <f>IF(C6="","",C6/C39)</f>
        <v>1.2120690444394469</v>
      </c>
      <c r="D50" s="272">
        <f t="shared" ref="D50:M50" si="41">IF(D6="","",D6/D39)</f>
        <v>3.4176580643435671E-2</v>
      </c>
      <c r="E50" s="272" t="str">
        <f t="shared" si="41"/>
        <v/>
      </c>
      <c r="F50" s="272" t="str">
        <f t="shared" si="41"/>
        <v/>
      </c>
      <c r="G50" s="272" t="str">
        <f t="shared" si="41"/>
        <v/>
      </c>
      <c r="H50" s="272" t="str">
        <f t="shared" si="41"/>
        <v/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142</v>
      </c>
      <c r="C51" s="153">
        <f t="shared" ref="C51:M51" si="42">IF(C29="","",C29/C6)</f>
        <v>8.5794274361058437E-2</v>
      </c>
      <c r="D51" s="153">
        <f t="shared" si="42"/>
        <v>0.77753574056175079</v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143</v>
      </c>
      <c r="C52" s="153">
        <f t="shared" ref="C52:M52" si="43">IF(C30="","",C30/C6)</f>
        <v>7.2034350549658056E-3</v>
      </c>
      <c r="D52" s="153">
        <f t="shared" si="43"/>
        <v>4.071861610813774</v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257</v>
      </c>
      <c r="C53" s="153" t="e">
        <f>IF(D6="","",C16/(C6-D6))</f>
        <v>#VALUE!</v>
      </c>
      <c r="D53" s="153" t="str">
        <f t="shared" ref="D53:M53" si="44">IF(E6="","",D16/(D6-E6))</f>
        <v/>
      </c>
      <c r="E53" s="153" t="str">
        <f t="shared" si="44"/>
        <v/>
      </c>
      <c r="F53" s="153" t="str">
        <f t="shared" si="44"/>
        <v/>
      </c>
      <c r="G53" s="153" t="str">
        <f t="shared" si="44"/>
        <v/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261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263</v>
      </c>
      <c r="C55" s="156">
        <f>IF(C36="","",(C36-C37)/C27)</f>
        <v>0.52005836963812035</v>
      </c>
      <c r="D55" s="156">
        <f t="shared" ref="D55:M55" si="45">IF(D36="","",(D36-D37)/D27)</f>
        <v>0.68918582450160215</v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117</v>
      </c>
      <c r="C56" s="157">
        <f t="shared" ref="C56:M56" si="46">IF(OR(C22="",C35=""),"",IF(C35&lt;=0,"-",C22/C35))</f>
        <v>0.44519746932515336</v>
      </c>
      <c r="D56" s="157">
        <f t="shared" si="46"/>
        <v>5.6738563800966181E-2</v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119</v>
      </c>
      <c r="C57" s="153">
        <f t="shared" ref="C57:M57" si="47">IF(C22="","",IF(MAX(C17,0)&lt;=0,"-",C17/C22))</f>
        <v>8.8050585305284618E-2</v>
      </c>
      <c r="D57" s="153">
        <f t="shared" si="47"/>
        <v>0.10072412517995426</v>
      </c>
      <c r="E57" s="153" t="str">
        <f t="shared" si="47"/>
        <v/>
      </c>
      <c r="F57" s="153" t="str">
        <f t="shared" si="47"/>
        <v/>
      </c>
      <c r="G57" s="153" t="str">
        <f t="shared" si="47"/>
        <v/>
      </c>
      <c r="H57" s="153" t="str">
        <f t="shared" si="47"/>
        <v/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19</v>
      </c>
      <c r="C58" s="158">
        <f t="shared" ref="C58:M58" si="48">IF(C28="","",C28/C31)</f>
        <v>1.3450387544929943</v>
      </c>
      <c r="D58" s="158">
        <f t="shared" si="48"/>
        <v>3.055211094750502</v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264</v>
      </c>
      <c r="C59" s="273" t="str">
        <f>IFERROR(IF(C13*C50*(1/C55)=C60,"","Error"),"")</f>
        <v>Error</v>
      </c>
      <c r="D59" s="273" t="str">
        <f t="shared" ref="D59:M59" si="49">IFERROR(IF(D13*D50*(1/D55)=D60,"","Error"),"")</f>
        <v>Error</v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265</v>
      </c>
      <c r="C60" s="274">
        <f>IF(C14="","",C14/(C36-C37))</f>
        <v>0.17613610617638822</v>
      </c>
      <c r="D60" s="274">
        <f t="shared" ref="D60:M60" si="50">IF(D14="","",D14/(D36-D37))</f>
        <v>4.0970232249725952E-3</v>
      </c>
      <c r="E60" s="274" t="str">
        <f t="shared" si="50"/>
        <v/>
      </c>
      <c r="F60" s="274" t="str">
        <f t="shared" si="50"/>
        <v/>
      </c>
      <c r="G60" s="274" t="str">
        <f t="shared" si="50"/>
        <v/>
      </c>
      <c r="H60" s="274" t="str">
        <f t="shared" si="50"/>
        <v/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266</v>
      </c>
      <c r="C61" s="274">
        <f>IF(C22="","",C22/(C36-C37))</f>
        <v>0.16188227694116636</v>
      </c>
      <c r="D61" s="274">
        <f t="shared" ref="D61:M61" si="51">IF(D22="","",D22/(D36-D37))</f>
        <v>3.7221163152963369E-3</v>
      </c>
      <c r="E61" s="274" t="str">
        <f t="shared" si="51"/>
        <v/>
      </c>
      <c r="F61" s="274" t="str">
        <f t="shared" si="51"/>
        <v/>
      </c>
      <c r="G61" s="274" t="str">
        <f t="shared" si="51"/>
        <v/>
      </c>
      <c r="H61" s="274" t="str">
        <f t="shared" si="51"/>
        <v/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927597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860681</v>
      </c>
      <c r="K3" s="24"/>
    </row>
    <row r="4" spans="1:11" ht="15" customHeight="1" x14ac:dyDescent="0.4">
      <c r="B4" s="3" t="s">
        <v>23</v>
      </c>
      <c r="C4" s="87"/>
      <c r="D4" s="65">
        <f>D3-I3</f>
        <v>66916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>
        <f>C28/I28</f>
        <v>1.3450387544929943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-254646.85620362544</v>
      </c>
      <c r="E6" s="56">
        <f>1-D6/D3</f>
        <v>1.2745231562883725</v>
      </c>
      <c r="F6" s="87"/>
      <c r="G6" s="87"/>
      <c r="H6" s="1" t="s">
        <v>26</v>
      </c>
      <c r="I6" s="63">
        <f>(C24+C25)/I28</f>
        <v>1.3337269806562737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>
        <f>C24/I28</f>
        <v>1.080311789307576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191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353601</v>
      </c>
      <c r="D11" s="198">
        <f>Inputs!D48</f>
        <v>0.9</v>
      </c>
      <c r="E11" s="88">
        <f t="shared" ref="E11:E22" si="0">C11*D11</f>
        <v>318240.90000000002</v>
      </c>
      <c r="F11" s="112"/>
      <c r="G11" s="87"/>
      <c r="H11" s="3" t="s">
        <v>35</v>
      </c>
      <c r="I11" s="40">
        <f>Inputs!C73</f>
        <v>52462</v>
      </c>
      <c r="J11" s="87"/>
      <c r="K11" s="24"/>
    </row>
    <row r="12" spans="1:11" ht="13.9" x14ac:dyDescent="0.4">
      <c r="B12" s="1" t="s">
        <v>131</v>
      </c>
      <c r="C12" s="40">
        <f>Inputs!C49</f>
        <v>3408</v>
      </c>
      <c r="D12" s="198">
        <f>Inputs!D49</f>
        <v>0.8</v>
      </c>
      <c r="E12" s="88">
        <f t="shared" si="0"/>
        <v>2726.4</v>
      </c>
      <c r="F12" s="112"/>
      <c r="G12" s="87"/>
      <c r="H12" s="3" t="s">
        <v>36</v>
      </c>
      <c r="I12" s="40">
        <f>Inputs!C74</f>
        <v>5999</v>
      </c>
      <c r="J12" s="87"/>
      <c r="K12" s="24"/>
    </row>
    <row r="13" spans="1:11" ht="13.9" x14ac:dyDescent="0.4">
      <c r="B13" s="3" t="s">
        <v>113</v>
      </c>
      <c r="C13" s="40">
        <f>Inputs!C50</f>
        <v>52250</v>
      </c>
      <c r="D13" s="198">
        <f>Inputs!D50</f>
        <v>0.6</v>
      </c>
      <c r="E13" s="88">
        <f t="shared" si="0"/>
        <v>31350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9714</v>
      </c>
      <c r="D14" s="198">
        <f>Inputs!D51</f>
        <v>0.6</v>
      </c>
      <c r="E14" s="88">
        <f t="shared" si="0"/>
        <v>5828.4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5437</v>
      </c>
      <c r="D15" s="198">
        <f>Inputs!D52</f>
        <v>0.5</v>
      </c>
      <c r="E15" s="88">
        <f t="shared" si="0"/>
        <v>2718.5</v>
      </c>
      <c r="F15" s="112"/>
      <c r="G15" s="87"/>
      <c r="H15" s="1" t="s">
        <v>50</v>
      </c>
      <c r="I15" s="84">
        <f>SUM(I11:I14)</f>
        <v>58461</v>
      </c>
      <c r="J15" s="87"/>
    </row>
    <row r="16" spans="1:11" ht="13.9" x14ac:dyDescent="0.4">
      <c r="B16" s="1" t="s">
        <v>153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92844</v>
      </c>
      <c r="D17" s="198">
        <f>Inputs!D54</f>
        <v>0.1</v>
      </c>
      <c r="E17" s="88">
        <f t="shared" si="0"/>
        <v>9284.4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4387</v>
      </c>
      <c r="D18" s="198">
        <f>Inputs!D55</f>
        <v>0.5</v>
      </c>
      <c r="E18" s="88">
        <f t="shared" si="0"/>
        <v>2193.5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329365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418973</v>
      </c>
      <c r="D24" s="62">
        <f>IF(E24=0,0,E24/C24)</f>
        <v>0.85481809090323257</v>
      </c>
      <c r="E24" s="88">
        <f>SUM(E11:E14)</f>
        <v>358145.70000000007</v>
      </c>
      <c r="F24" s="113">
        <f>E24/$E$28</f>
        <v>0.96187269717821322</v>
      </c>
      <c r="G24" s="87"/>
    </row>
    <row r="25" spans="2:10" ht="15" customHeight="1" x14ac:dyDescent="0.4">
      <c r="B25" s="23" t="s">
        <v>51</v>
      </c>
      <c r="C25" s="61">
        <f>SUM(C15:C17)</f>
        <v>98281</v>
      </c>
      <c r="D25" s="62">
        <f>IF(E25=0,0,E25/C25)</f>
        <v>0.12212838697204953</v>
      </c>
      <c r="E25" s="88">
        <f>SUM(E15:E17)</f>
        <v>12002.9</v>
      </c>
      <c r="F25" s="113">
        <f>E25/$E$28</f>
        <v>3.2236215029135831E-2</v>
      </c>
      <c r="G25" s="87"/>
      <c r="H25" s="23" t="s">
        <v>52</v>
      </c>
      <c r="I25" s="63">
        <f>E28/I28</f>
        <v>0.96007513678814749</v>
      </c>
    </row>
    <row r="26" spans="2:10" ht="15" customHeight="1" x14ac:dyDescent="0.4">
      <c r="B26" s="23" t="s">
        <v>53</v>
      </c>
      <c r="C26" s="61">
        <f>C18+C19+C20</f>
        <v>4387</v>
      </c>
      <c r="D26" s="62">
        <f>IF(E26=0,0,E26/C26)</f>
        <v>0.5</v>
      </c>
      <c r="E26" s="88">
        <f>E18+E19+E20</f>
        <v>2193.5</v>
      </c>
      <c r="F26" s="113">
        <f>E26/$E$28</f>
        <v>5.8910877926508969E-3</v>
      </c>
      <c r="G26" s="87"/>
      <c r="H26" s="23" t="s">
        <v>54</v>
      </c>
      <c r="I26" s="63">
        <f>E24/($I$28-I22)</f>
        <v>6.1262328731975177</v>
      </c>
      <c r="J26" s="8" t="str">
        <f>IF(I26&lt;1,"Liquidity Problem!","")</f>
        <v/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56</v>
      </c>
      <c r="I27" s="63">
        <f>(E25+E24)/$I$28</f>
        <v>0.95441924986978721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521641</v>
      </c>
      <c r="D28" s="57">
        <f>E28/C28</f>
        <v>0.71378994365856996</v>
      </c>
      <c r="E28" s="70">
        <f>SUM(E24:E27)</f>
        <v>372342.10000000009</v>
      </c>
      <c r="F28" s="112"/>
      <c r="G28" s="87"/>
      <c r="H28" s="78" t="s">
        <v>15</v>
      </c>
      <c r="I28" s="206">
        <f>Inputs!C77</f>
        <v>387826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51490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152946</v>
      </c>
      <c r="J30" s="87"/>
    </row>
    <row r="31" spans="2:10" ht="15" customHeight="1" x14ac:dyDescent="0.4">
      <c r="B31" s="3" t="s">
        <v>59</v>
      </c>
      <c r="C31" s="40">
        <f>Inputs!C61</f>
        <v>460284</v>
      </c>
      <c r="D31" s="198">
        <f>Inputs!D61</f>
        <v>0.6</v>
      </c>
      <c r="E31" s="88">
        <f t="shared" ref="E31:E42" si="1">C31*D31</f>
        <v>276170.39999999997</v>
      </c>
      <c r="F31" s="112"/>
      <c r="G31" s="87"/>
      <c r="H31" s="3" t="s">
        <v>60</v>
      </c>
      <c r="I31" s="40">
        <f>Inputs!C79</f>
        <v>14979</v>
      </c>
      <c r="J31" s="87"/>
    </row>
    <row r="32" spans="2:10" ht="15" customHeight="1" x14ac:dyDescent="0.4">
      <c r="B32" s="3" t="s">
        <v>61</v>
      </c>
      <c r="C32" s="40">
        <f>Inputs!C62</f>
        <v>1144</v>
      </c>
      <c r="D32" s="198">
        <f>Inputs!D62</f>
        <v>0.5</v>
      </c>
      <c r="E32" s="88">
        <f t="shared" si="1"/>
        <v>572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154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86574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254499</v>
      </c>
      <c r="J34" s="87"/>
    </row>
    <row r="35" spans="2:10" ht="13.9" x14ac:dyDescent="0.4">
      <c r="B35" s="3" t="s">
        <v>66</v>
      </c>
      <c r="C35" s="40">
        <f>Inputs!C65</f>
        <v>270182</v>
      </c>
      <c r="D35" s="198">
        <f>Inputs!D65</f>
        <v>0.1</v>
      </c>
      <c r="E35" s="88">
        <f t="shared" si="1"/>
        <v>27018.2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659</v>
      </c>
      <c r="D36" s="198">
        <f>Inputs!D66</f>
        <v>0.2</v>
      </c>
      <c r="E36" s="88">
        <f t="shared" si="1"/>
        <v>131.80000000000001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13463</v>
      </c>
      <c r="D37" s="198">
        <f>Inputs!D67</f>
        <v>0.1</v>
      </c>
      <c r="E37" s="88">
        <f t="shared" si="1"/>
        <v>1346.3000000000002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127220</v>
      </c>
      <c r="D38" s="198">
        <f>Inputs!D68</f>
        <v>0.1</v>
      </c>
      <c r="E38" s="88">
        <f t="shared" si="1"/>
        <v>12722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177621</v>
      </c>
      <c r="D40" s="198">
        <f>Inputs!D70</f>
        <v>0.05</v>
      </c>
      <c r="E40" s="88">
        <f t="shared" si="1"/>
        <v>8881.0500000000011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31266</v>
      </c>
      <c r="D41" s="198">
        <f>Inputs!D71</f>
        <v>0.9</v>
      </c>
      <c r="E41" s="88">
        <f t="shared" si="1"/>
        <v>28139.4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85048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511774</v>
      </c>
      <c r="D44" s="62">
        <f>IF(E44=0,0,E44/C44)</f>
        <v>0.53963351010406935</v>
      </c>
      <c r="E44" s="88">
        <f>SUM(E30:E31)</f>
        <v>276170.39999999997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271326</v>
      </c>
      <c r="D45" s="62">
        <f>IF(E45=0,0,E45/C45)</f>
        <v>0.10168653206843428</v>
      </c>
      <c r="E45" s="88">
        <f>SUM(E32:E35)</f>
        <v>27590.2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141342</v>
      </c>
      <c r="D46" s="62">
        <f>IF(E46=0,0,E46/C46)</f>
        <v>0.10046624499441072</v>
      </c>
      <c r="E46" s="88">
        <f>E36+E37+E38+E39</f>
        <v>14200.1</v>
      </c>
      <c r="F46" s="87"/>
      <c r="G46" s="87"/>
      <c r="H46" s="23" t="s">
        <v>77</v>
      </c>
      <c r="I46" s="63">
        <f>(E44+E24)/E64</f>
        <v>2.0268280291411047</v>
      </c>
      <c r="J46" s="8" t="str">
        <f>IF(I46&lt;1,"Liquidity Problem!","")</f>
        <v/>
      </c>
    </row>
    <row r="47" spans="2:10" ht="15" customHeight="1" x14ac:dyDescent="0.4">
      <c r="B47" s="23" t="s">
        <v>78</v>
      </c>
      <c r="C47" s="61">
        <f>C40+C41+C42</f>
        <v>208887</v>
      </c>
      <c r="D47" s="62">
        <f>IF(E47=0,0,E47/C47)</f>
        <v>0.1772271610966695</v>
      </c>
      <c r="E47" s="88">
        <f>E40+E41+E42</f>
        <v>37020.450000000004</v>
      </c>
      <c r="F47" s="87"/>
      <c r="G47" s="87"/>
      <c r="H47" s="23" t="s">
        <v>79</v>
      </c>
      <c r="I47" s="63">
        <f>(E44+E45+E24+E25)/$I$49</f>
        <v>0.92649740916971079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80</v>
      </c>
      <c r="C48" s="81">
        <f>SUM(C30:C42)</f>
        <v>1133329</v>
      </c>
      <c r="D48" s="82">
        <f>E48/C48</f>
        <v>0.31321985937005048</v>
      </c>
      <c r="E48" s="76">
        <f>SUM(E30:E42)</f>
        <v>354981.14999999997</v>
      </c>
      <c r="F48" s="87"/>
      <c r="G48" s="87"/>
      <c r="H48" s="80" t="s">
        <v>81</v>
      </c>
      <c r="I48" s="207">
        <f>Inputs!C82</f>
        <v>339547</v>
      </c>
      <c r="J48" s="8"/>
    </row>
    <row r="49" spans="2:11" ht="15" customHeight="1" thickTop="1" x14ac:dyDescent="0.4">
      <c r="B49" s="3" t="s">
        <v>13</v>
      </c>
      <c r="C49" s="61">
        <f>C28+C48</f>
        <v>1654970</v>
      </c>
      <c r="D49" s="56">
        <f>E49/C49</f>
        <v>0.43947820806419452</v>
      </c>
      <c r="E49" s="88">
        <f>E28+E48</f>
        <v>727323.25</v>
      </c>
      <c r="F49" s="87"/>
      <c r="G49" s="87"/>
      <c r="H49" s="3" t="s">
        <v>82</v>
      </c>
      <c r="I49" s="52">
        <f>I28+I48</f>
        <v>727373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66916</v>
      </c>
      <c r="D53" s="29">
        <f>IF(E53=0, 0,E53/C53)</f>
        <v>3.8047269143945459</v>
      </c>
      <c r="E53" s="88">
        <f>IF(C53=0,0,MAX(C53,C53*Dashboard!G23))</f>
        <v>254597.10620362544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145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88">
        <f>I15+I34</f>
        <v>312960</v>
      </c>
      <c r="E56" s="286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87">
        <f>Inputs!C84</f>
        <v>0</v>
      </c>
      <c r="E57" s="286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87">
        <f>Inputs!C85</f>
        <v>0</v>
      </c>
      <c r="E58" s="286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148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747420</v>
      </c>
      <c r="D61" s="56">
        <f t="shared" ref="D61:D70" si="2">IF(E61=0,0,E61/C61)</f>
        <v>0.41802373498167028</v>
      </c>
      <c r="E61" s="52">
        <f>E14+E15+(E19*G19)+(E20*G20)+E31+E32+(E35*G35)+(E36*G36)+(E37*G37)</f>
        <v>312439.3</v>
      </c>
      <c r="F61" s="87"/>
      <c r="G61" s="87"/>
      <c r="I61" s="87"/>
      <c r="K61" s="33"/>
    </row>
    <row r="62" spans="2:11" ht="13.9" x14ac:dyDescent="0.4">
      <c r="B62" s="35" t="s">
        <v>135</v>
      </c>
      <c r="C62" s="117">
        <f>C11+C30</f>
        <v>405091</v>
      </c>
      <c r="D62" s="107">
        <f t="shared" si="2"/>
        <v>0.78560348168683092</v>
      </c>
      <c r="E62" s="118">
        <f>E11+E30</f>
        <v>318240.90000000002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1152511</v>
      </c>
      <c r="D63" s="29">
        <f t="shared" si="2"/>
        <v>0.54722271631246899</v>
      </c>
      <c r="E63" s="61">
        <f>E61+E62</f>
        <v>630680.19999999995</v>
      </c>
      <c r="F63" s="87"/>
      <c r="G63" s="87"/>
      <c r="I63" s="87"/>
      <c r="K63" s="33"/>
    </row>
    <row r="64" spans="2:11" ht="14.25" thickBot="1" x14ac:dyDescent="0.45">
      <c r="B64" s="121" t="s">
        <v>146</v>
      </c>
      <c r="C64" s="208"/>
      <c r="D64" s="208"/>
      <c r="E64" s="69">
        <f>D56+D57+D58</f>
        <v>312960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839551</v>
      </c>
      <c r="D65" s="29">
        <f t="shared" si="2"/>
        <v>0.37844061885460201</v>
      </c>
      <c r="E65" s="61">
        <f>E63-E64</f>
        <v>317720.19999999995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149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502459</v>
      </c>
      <c r="D68" s="29">
        <f t="shared" si="2"/>
        <v>0.19234017103883111</v>
      </c>
      <c r="E68" s="68">
        <f>E49-E63</f>
        <v>96643.050000000047</v>
      </c>
      <c r="F68" s="87"/>
      <c r="G68" s="87"/>
      <c r="I68" s="87"/>
      <c r="K68" s="33"/>
    </row>
    <row r="69" spans="1:11" ht="14.25" thickBot="1" x14ac:dyDescent="0.45">
      <c r="B69" s="121" t="s">
        <v>147</v>
      </c>
      <c r="C69" s="208"/>
      <c r="D69" s="208"/>
      <c r="E69" s="126">
        <f>I49-E64</f>
        <v>414413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88046</v>
      </c>
      <c r="D70" s="29">
        <f t="shared" si="2"/>
        <v>-3.609135565499852</v>
      </c>
      <c r="E70" s="68">
        <f>E68-E69</f>
        <v>-317769.94999999995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75">
        <f>Data!C5</f>
        <v>45291</v>
      </c>
      <c r="D72" s="275"/>
      <c r="E72" s="289" t="s">
        <v>201</v>
      </c>
      <c r="F72" s="289"/>
      <c r="H72" s="289" t="s">
        <v>200</v>
      </c>
      <c r="I72" s="289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6" t="s">
        <v>97</v>
      </c>
      <c r="D73" s="276"/>
      <c r="E73" s="290" t="s">
        <v>98</v>
      </c>
      <c r="F73" s="276"/>
      <c r="H73" s="290" t="s">
        <v>98</v>
      </c>
      <c r="I73" s="276"/>
      <c r="K73" s="24"/>
    </row>
    <row r="74" spans="1:11" ht="15" customHeight="1" x14ac:dyDescent="0.4">
      <c r="B74" s="3" t="s">
        <v>122</v>
      </c>
      <c r="C74" s="77">
        <f>Data!C6</f>
        <v>609015</v>
      </c>
      <c r="D74" s="209"/>
      <c r="E74" s="238">
        <f>Inputs!E91</f>
        <v>609015</v>
      </c>
      <c r="F74" s="209"/>
      <c r="H74" s="238">
        <f>Inputs!F91</f>
        <v>609015</v>
      </c>
      <c r="I74" s="209"/>
      <c r="K74" s="24"/>
    </row>
    <row r="75" spans="1:11" ht="15" customHeight="1" x14ac:dyDescent="0.4">
      <c r="B75" s="104" t="s">
        <v>102</v>
      </c>
      <c r="C75" s="77">
        <f>Data!C8</f>
        <v>315906</v>
      </c>
      <c r="D75" s="159">
        <f>C75/$C$74</f>
        <v>0.51871628777616319</v>
      </c>
      <c r="E75" s="238">
        <f>Inputs!E92</f>
        <v>315906</v>
      </c>
      <c r="F75" s="160">
        <f>E75/E74</f>
        <v>0.51871628777616319</v>
      </c>
      <c r="H75" s="238">
        <f>Inputs!F92</f>
        <v>315906</v>
      </c>
      <c r="I75" s="160">
        <f>H75/$H$74</f>
        <v>0.51871628777616319</v>
      </c>
      <c r="K75" s="24"/>
    </row>
    <row r="76" spans="1:11" ht="15" customHeight="1" x14ac:dyDescent="0.4">
      <c r="B76" s="35" t="s">
        <v>92</v>
      </c>
      <c r="C76" s="161">
        <f>C74-C75</f>
        <v>293109</v>
      </c>
      <c r="D76" s="210"/>
      <c r="E76" s="162">
        <f>E74-E75</f>
        <v>293109</v>
      </c>
      <c r="F76" s="210"/>
      <c r="H76" s="162">
        <f>H74-H75</f>
        <v>293109</v>
      </c>
      <c r="I76" s="210"/>
      <c r="K76" s="24"/>
    </row>
    <row r="77" spans="1:11" ht="15" customHeight="1" x14ac:dyDescent="0.4">
      <c r="B77" s="104" t="s">
        <v>242</v>
      </c>
      <c r="C77" s="77">
        <f>Data!C10+MAX(Data!C11,0)</f>
        <v>137736</v>
      </c>
      <c r="D77" s="159">
        <f>C77/$C$74</f>
        <v>0.22616191719415779</v>
      </c>
      <c r="E77" s="238">
        <f>Inputs!E93</f>
        <v>137736</v>
      </c>
      <c r="F77" s="160">
        <f>E77/E74</f>
        <v>0.22616191719415779</v>
      </c>
      <c r="H77" s="238">
        <f>Inputs!F93</f>
        <v>137736</v>
      </c>
      <c r="I77" s="160">
        <f>H77/$H$74</f>
        <v>0.22616191719415779</v>
      </c>
      <c r="K77" s="24"/>
    </row>
    <row r="78" spans="1:11" ht="15" customHeight="1" x14ac:dyDescent="0.4">
      <c r="B78" s="73" t="s">
        <v>167</v>
      </c>
      <c r="C78" s="77">
        <f>MAX(Data!C12,0)</f>
        <v>3776</v>
      </c>
      <c r="D78" s="159">
        <f>C78/$C$74</f>
        <v>6.2001756935379264E-3</v>
      </c>
      <c r="E78" s="180">
        <f>E74*F78</f>
        <v>3776</v>
      </c>
      <c r="F78" s="160">
        <f>I78</f>
        <v>6.2001756935379264E-3</v>
      </c>
      <c r="H78" s="238">
        <f>Inputs!F97</f>
        <v>3776</v>
      </c>
      <c r="I78" s="160">
        <f>H78/$H$74</f>
        <v>6.2001756935379264E-3</v>
      </c>
      <c r="K78" s="24"/>
    </row>
    <row r="79" spans="1:11" ht="15" customHeight="1" x14ac:dyDescent="0.4">
      <c r="B79" s="256" t="s">
        <v>227</v>
      </c>
      <c r="C79" s="257">
        <f>C76-C77-C78</f>
        <v>151597</v>
      </c>
      <c r="D79" s="258">
        <f>C79/C74</f>
        <v>0.24892161933614115</v>
      </c>
      <c r="E79" s="259">
        <f>E76-E77-E78</f>
        <v>151597</v>
      </c>
      <c r="F79" s="258">
        <f>E79/E74</f>
        <v>0.24892161933614115</v>
      </c>
      <c r="G79" s="260"/>
      <c r="H79" s="259">
        <f>H76-H77-H78</f>
        <v>151597</v>
      </c>
      <c r="I79" s="258">
        <f>H79/H74</f>
        <v>0.24892161933614115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127</v>
      </c>
    </row>
    <row r="81" spans="1:11" ht="15" customHeight="1" x14ac:dyDescent="0.4">
      <c r="B81" s="104" t="s">
        <v>251</v>
      </c>
      <c r="C81" s="77">
        <f>MAX(Data!C17,0)</f>
        <v>12268</v>
      </c>
      <c r="D81" s="159">
        <f>C81/$C$74</f>
        <v>2.0144003021272054E-2</v>
      </c>
      <c r="E81" s="180">
        <f>E74*F81</f>
        <v>12268</v>
      </c>
      <c r="F81" s="160">
        <f>I81</f>
        <v>2.0144003021272054E-2</v>
      </c>
      <c r="H81" s="238">
        <f>Inputs!F94</f>
        <v>12268</v>
      </c>
      <c r="I81" s="160">
        <f>H81/$H$74</f>
        <v>2.0144003021272054E-2</v>
      </c>
      <c r="K81" s="24"/>
    </row>
    <row r="82" spans="1:11" ht="15" customHeight="1" x14ac:dyDescent="0.4">
      <c r="B82" s="28" t="s">
        <v>241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121</v>
      </c>
      <c r="C83" s="163">
        <f>C79-C81-C82-C80</f>
        <v>139329</v>
      </c>
      <c r="D83" s="164">
        <f>C83/$C$74</f>
        <v>0.22877761631486909</v>
      </c>
      <c r="E83" s="165">
        <f>E79-E81-E82-E80</f>
        <v>139329</v>
      </c>
      <c r="F83" s="164">
        <f>E83/E74</f>
        <v>0.22877761631486909</v>
      </c>
      <c r="H83" s="165">
        <f>H79-H81-H82-H80</f>
        <v>139329</v>
      </c>
      <c r="I83" s="164">
        <f>H83/$H$74</f>
        <v>0.22877761631486909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159</v>
      </c>
      <c r="C85" s="257">
        <f>C83*(1-I84)</f>
        <v>104496.75</v>
      </c>
      <c r="D85" s="258">
        <f>C85/$C$74</f>
        <v>0.17158321223615181</v>
      </c>
      <c r="E85" s="264">
        <f>E83*(1-F84)</f>
        <v>104496.75</v>
      </c>
      <c r="F85" s="258">
        <f>E85/E74</f>
        <v>0.17158321223615181</v>
      </c>
      <c r="G85" s="260"/>
      <c r="H85" s="264">
        <f>H83*(1-I84)</f>
        <v>104496.75</v>
      </c>
      <c r="I85" s="258">
        <f>H85/$H$74</f>
        <v>0.17158321223615181</v>
      </c>
      <c r="K85" s="24"/>
    </row>
    <row r="86" spans="1:11" ht="15" customHeight="1" x14ac:dyDescent="0.4">
      <c r="B86" s="87" t="s">
        <v>155</v>
      </c>
      <c r="C86" s="167">
        <f>C85*Data!C4/Common_Shares</f>
        <v>11.275726542587647</v>
      </c>
      <c r="D86" s="209"/>
      <c r="E86" s="168">
        <f>E85*Data!C4/Common_Shares</f>
        <v>11.275726542587647</v>
      </c>
      <c r="F86" s="209"/>
      <c r="H86" s="168">
        <f>H85*Data!C4/Common_Shares</f>
        <v>11.275726542587647</v>
      </c>
      <c r="I86" s="209"/>
      <c r="K86" s="24"/>
    </row>
    <row r="87" spans="1:11" ht="15" customHeight="1" x14ac:dyDescent="0.4">
      <c r="B87" s="87" t="s">
        <v>203</v>
      </c>
      <c r="C87" s="261">
        <f>C86*Exchange_Rate/Dashboard!G3</f>
        <v>2.960874212132739E-2</v>
      </c>
      <c r="D87" s="209"/>
      <c r="E87" s="262">
        <f>E86*Exchange_Rate/Dashboard!G3</f>
        <v>2.960874212132739E-2</v>
      </c>
      <c r="F87" s="209"/>
      <c r="H87" s="262">
        <f>H86*Exchange_Rate/Dashboard!G3</f>
        <v>2.960874212132739E-2</v>
      </c>
      <c r="I87" s="209"/>
      <c r="K87" s="24"/>
    </row>
    <row r="88" spans="1:11" ht="15" customHeight="1" x14ac:dyDescent="0.4">
      <c r="B88" s="86" t="s">
        <v>202</v>
      </c>
      <c r="C88" s="169">
        <f>Inputs!C44</f>
        <v>3.1797701279964126</v>
      </c>
      <c r="D88" s="166">
        <f>C88/C86</f>
        <v>0.2820013518407562</v>
      </c>
      <c r="E88" s="170">
        <f>Inputs!E98</f>
        <v>3.1797701279964126</v>
      </c>
      <c r="F88" s="166">
        <f>E88/E86</f>
        <v>0.2820013518407562</v>
      </c>
      <c r="H88" s="170">
        <f>Inputs!F98</f>
        <v>3.1797701279964126</v>
      </c>
      <c r="I88" s="166">
        <f>H88/H86</f>
        <v>0.2820013518407562</v>
      </c>
      <c r="K88" s="24"/>
    </row>
    <row r="89" spans="1:11" ht="15" customHeight="1" x14ac:dyDescent="0.4">
      <c r="B89" s="87" t="s">
        <v>216</v>
      </c>
      <c r="C89" s="261">
        <f>C88*Exchange_Rate/Dashboard!G3</f>
        <v>8.3497053045186644E-3</v>
      </c>
      <c r="D89" s="209"/>
      <c r="E89" s="261">
        <f>E88*Exchange_Rate/Dashboard!G3</f>
        <v>8.3497053045186644E-3</v>
      </c>
      <c r="F89" s="209"/>
      <c r="H89" s="261">
        <f>H88*Exchange_Rate/Dashboard!G3</f>
        <v>8.3497053045186644E-3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150</v>
      </c>
      <c r="C92" s="198" t="str">
        <f>Inputs!C15</f>
        <v>CN</v>
      </c>
      <c r="D92" s="10" t="s">
        <v>151</v>
      </c>
      <c r="E92" s="289" t="s">
        <v>201</v>
      </c>
      <c r="F92" s="289"/>
      <c r="G92" s="87"/>
      <c r="H92" s="289" t="s">
        <v>200</v>
      </c>
      <c r="I92" s="289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204</v>
      </c>
      <c r="F93" s="144">
        <f>FV(E87,D93,0,-(E86/(C93-D94)))*Exchange_Rate</f>
        <v>210.57312928491575</v>
      </c>
      <c r="H93" s="87" t="s">
        <v>204</v>
      </c>
      <c r="I93" s="144">
        <f>FV(H87,D93,0,-(H86/(C93-D94)))*Exchange_Rate</f>
        <v>210.57312928491575</v>
      </c>
      <c r="K93" s="24"/>
    </row>
    <row r="94" spans="1:11" ht="15" customHeight="1" x14ac:dyDescent="0.4">
      <c r="B94" s="1" t="s">
        <v>206</v>
      </c>
      <c r="C94" s="182">
        <f>Dashboard!G20</f>
        <v>0.15</v>
      </c>
      <c r="D94" s="270">
        <f>Inputs!D87</f>
        <v>0.02</v>
      </c>
      <c r="E94" s="87" t="s">
        <v>205</v>
      </c>
      <c r="F94" s="144">
        <f>FV(E89,D93,0,-(E88/(C93-D94)))*Exchange_Rate</f>
        <v>53.49940019231542</v>
      </c>
      <c r="H94" s="87" t="s">
        <v>205</v>
      </c>
      <c r="I94" s="144">
        <f>FV(H89,D93,0,-(H88/(C93-D94)))*Exchange_Rate</f>
        <v>53.49940019231542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208</v>
      </c>
      <c r="E96" s="183" t="str">
        <f>E72</f>
        <v>Pessimistic Case</v>
      </c>
      <c r="F96" s="227" t="s">
        <v>232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126</v>
      </c>
      <c r="C97" s="91">
        <f>H97*Common_Shares/Data!C4</f>
        <v>970223.96559029934</v>
      </c>
      <c r="D97" s="213"/>
      <c r="E97" s="123">
        <f>PV(C94,D93,0,-F93)</f>
        <v>104.69206095941914</v>
      </c>
      <c r="F97" s="213"/>
      <c r="H97" s="123">
        <f>PV(C94,D93,0,-I93)</f>
        <v>104.69206095941914</v>
      </c>
      <c r="I97" s="123">
        <f>PV(C93,D93,0,-I93)</f>
        <v>139.23679046993516</v>
      </c>
      <c r="K97" s="24"/>
    </row>
    <row r="98" spans="2:11" ht="15" customHeight="1" x14ac:dyDescent="0.4">
      <c r="B98" s="28" t="s">
        <v>140</v>
      </c>
      <c r="C98" s="91">
        <f>-E53*Exchange_Rate</f>
        <v>-272230.42114612355</v>
      </c>
      <c r="D98" s="213"/>
      <c r="E98" s="213"/>
      <c r="F98" s="213"/>
      <c r="H98" s="123">
        <f>C98*Data!$C$4/Common_Shares</f>
        <v>-29.375035926161903</v>
      </c>
      <c r="I98" s="215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697993.54444417579</v>
      </c>
      <c r="D100" s="109">
        <f>MIN(F100*(1-C94),E100)</f>
        <v>64.019471278268654</v>
      </c>
      <c r="E100" s="109">
        <f>MAX(E97+H98+E99,0)</f>
        <v>75.317025033257238</v>
      </c>
      <c r="F100" s="109">
        <f>(E100+H100)/2</f>
        <v>75.317025033257238</v>
      </c>
      <c r="H100" s="109">
        <f>MAX(C100*Data!$C$4/Common_Shares,0)</f>
        <v>75.317025033257238</v>
      </c>
      <c r="I100" s="109">
        <f>MAX(I97+H98+H99,0)</f>
        <v>109.86175454377326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157</v>
      </c>
      <c r="C102" s="127" t="str">
        <f>C96</f>
        <v>HKD</v>
      </c>
      <c r="D102" s="124" t="s">
        <v>208</v>
      </c>
      <c r="E102" s="183" t="str">
        <f>E96</f>
        <v>Pessimistic Case</v>
      </c>
      <c r="F102" s="227" t="s">
        <v>232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156</v>
      </c>
      <c r="C103" s="91">
        <f>H103*Common_Shares/Data!C4</f>
        <v>246500.58812137795</v>
      </c>
      <c r="D103" s="109">
        <f>MIN(F103*(1-C94),E103)</f>
        <v>22.608858558827272</v>
      </c>
      <c r="E103" s="123">
        <f>PV(C94,D93,0,-F94)</f>
        <v>26.598657128032084</v>
      </c>
      <c r="F103" s="109">
        <f>(E103+H103)/2</f>
        <v>26.598657128032084</v>
      </c>
      <c r="H103" s="123">
        <f>PV(C94,D93,0,-I94)</f>
        <v>26.598657128032084</v>
      </c>
      <c r="I103" s="109">
        <f>PV(C93,D93,0,-I94)</f>
        <v>35.375286486651653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192</v>
      </c>
      <c r="C105" s="127" t="str">
        <f>C102</f>
        <v>HKD</v>
      </c>
      <c r="D105" s="124" t="s">
        <v>208</v>
      </c>
      <c r="E105" s="184" t="str">
        <f>E96</f>
        <v>Pessimistic Case</v>
      </c>
      <c r="F105" s="227" t="s">
        <v>232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193</v>
      </c>
      <c r="C106" s="91">
        <f>E106*Common_Shares/Data!C4</f>
        <v>472247.06628277694</v>
      </c>
      <c r="D106" s="109">
        <f>(D100+D103)/2</f>
        <v>43.314164918547959</v>
      </c>
      <c r="E106" s="123">
        <f>(E100+E103)/2</f>
        <v>50.957841080644663</v>
      </c>
      <c r="F106" s="109">
        <f>(F100+F103)/2</f>
        <v>50.957841080644663</v>
      </c>
      <c r="H106" s="123">
        <f>(H100+H103)/2</f>
        <v>50.957841080644663</v>
      </c>
      <c r="I106" s="123">
        <f>(I100+I103)/2</f>
        <v>72.618520515212452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160</v>
      </c>
      <c r="C108" s="128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2024-12-16T05:51:49Z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