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6CF651-14EB-43CC-ABCA-98872984B86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C72" i="4"/>
  <c r="D71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56" i="4"/>
  <c r="D55" i="4"/>
  <c r="C54" i="4"/>
  <c r="D53" i="4"/>
  <c r="C52" i="4"/>
  <c r="D50" i="4"/>
  <c r="C50" i="4"/>
  <c r="C48" i="4"/>
  <c r="D43" i="4"/>
  <c r="D35" i="4"/>
  <c r="D33" i="4"/>
  <c r="C33" i="4"/>
  <c r="D27" i="4"/>
  <c r="C27" i="4"/>
  <c r="B7" i="3"/>
  <c r="M53" i="2"/>
  <c r="F96" i="4" l="1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H53" i="2"/>
  <c r="I50" i="2"/>
  <c r="G53" i="2"/>
  <c r="H50" i="2"/>
  <c r="J53" i="2"/>
  <c r="K50" i="2"/>
  <c r="E53" i="2"/>
  <c r="F50" i="2"/>
  <c r="F53" i="2"/>
  <c r="G50" i="2"/>
  <c r="D53" i="2"/>
  <c r="E50" i="2"/>
  <c r="K53" i="2"/>
  <c r="L50" i="2"/>
  <c r="C53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K59" i="2"/>
  <c r="E59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<sst xmlns="http://schemas.openxmlformats.org/spreadsheetml/2006/main" count="393" uniqueCount="273">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</sst>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30598124345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176336</v>
      </c>
      <c r="D51" s="60">
        <v>0.6</v>
      </c>
      <c r="E51" s="112"/>
    </row>
    <row r="52" spans="2:5" ht="13.9" x14ac:dyDescent="0.4">
      <c r="B52" s="3" t="s">
        <v>40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153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257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43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185013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94862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71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33448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62222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83483</v>
      </c>
    </row>
    <row r="83" spans="2:8" ht="14.25" thickTop="1" x14ac:dyDescent="0.4">
      <c r="B83" s="73" t="s">
        <v>215</v>
      </c>
      <c r="C83" s="59">
        <v>1379544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102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242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251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241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202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0762.HK</v>
      </c>
      <c r="D3" s="282"/>
      <c r="E3" s="87"/>
      <c r="F3" s="3" t="s">
        <v>1</v>
      </c>
      <c r="G3" s="132">
        <v>6.95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中国联通</v>
      </c>
      <c r="D4" s="284"/>
      <c r="E4" s="87"/>
      <c r="F4" s="3" t="s">
        <v>2</v>
      </c>
      <c r="G4" s="287">
        <f>Inputs!C10</f>
        <v>30598124345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45624</v>
      </c>
      <c r="D5" s="286"/>
      <c r="E5" s="34"/>
      <c r="F5" s="35" t="s">
        <v>96</v>
      </c>
      <c r="G5" s="279">
        <f>G3*G4/1000000</f>
        <v>212656.96419775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0.73743481563190261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7.0138335341758879E-4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0.14371478086318526</v>
      </c>
    </row>
    <row r="24" spans="1:8" ht="15.75" customHeight="1" x14ac:dyDescent="0.4">
      <c r="B24" s="137" t="s">
        <v>165</v>
      </c>
      <c r="C24" s="171">
        <f>Fin_Analysis!I81</f>
        <v>5.3167363129601151E-3</v>
      </c>
      <c r="F24" s="140" t="s">
        <v>254</v>
      </c>
      <c r="G24" s="268">
        <f>G3/(Fin_Analysis!H86*G7)</f>
        <v>24.244345848091328</v>
      </c>
    </row>
    <row r="25" spans="1:8" ht="15.75" customHeight="1" x14ac:dyDescent="0.4">
      <c r="B25" s="137" t="s">
        <v>238</v>
      </c>
      <c r="C25" s="171">
        <f>Fin_Analysis!I82</f>
        <v>0.22719184534497058</v>
      </c>
      <c r="F25" s="140" t="s">
        <v>169</v>
      </c>
      <c r="G25" s="171">
        <f>Fin_Analysis!I88</f>
        <v>0</v>
      </c>
    </row>
    <row r="26" spans="1:8" ht="15.75" customHeight="1" x14ac:dyDescent="0.4">
      <c r="B26" s="138" t="s">
        <v>168</v>
      </c>
      <c r="C26" s="171">
        <f>Fin_Analysis!I83</f>
        <v>2.9355219356749174E-2</v>
      </c>
      <c r="F26" s="141" t="s">
        <v>188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2.1096682294821054</v>
      </c>
      <c r="D29" s="129">
        <f>G29*(1+G20)</f>
        <v>3.8534132235738396</v>
      </c>
      <c r="E29" s="87"/>
      <c r="F29" s="131">
        <f>IF(Fin_Analysis!C108="Profit",Fin_Analysis!F100,IF(Fin_Analysis!C108="Dividend",Fin_Analysis!F103,Fin_Analysis!F106))</f>
        <v>2.4819626229201242</v>
      </c>
      <c r="G29" s="278">
        <f>IF(Fin_Analysis!C108="Profit",Fin_Analysis!I100,IF(Fin_Analysis!C108="Dividend",Fin_Analysis!I103,Fin_Analysis!I106))</f>
        <v>3.350794107455513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8.1030660594121687E-2</v>
      </c>
      <c r="D40" s="155">
        <f>IF(D6="","",D14/MAX(D39,0))</f>
        <v>8.1796793754077946E-2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0.73743481563190261</v>
      </c>
      <c r="D43" s="153">
        <f t="shared" si="35"/>
        <v>0.72369162459430225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5.3167363129601151E-3</v>
      </c>
      <c r="D45" s="153">
        <f t="shared" si="37"/>
        <v>3.0849936891453301E-3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7.0138335341758879E-4</v>
      </c>
      <c r="D46" s="153">
        <f t="shared" ref="D46:M46" si="38">IF(D6="","",MAX(D12,0)/D6)</f>
        <v>3.4559442240653928E-4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0.22719184534497058</v>
      </c>
      <c r="D47" s="153">
        <f t="shared" ref="D47:M47" si="39">IF(D6="","",ABS(MAX(D21,0)-MAX(D19,0))/D6)</f>
        <v>0.24436812567616301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2.9355219356749174E-2</v>
      </c>
      <c r="D48" s="153">
        <f t="shared" si="40"/>
        <v>2.8509661617982917E-2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>
        <f>IF(C6="","",C6/C39)</f>
        <v>0.30943818992980698</v>
      </c>
      <c r="D50" s="272">
        <f t="shared" ref="D50:M50" si="41">IF(D6="","",D6/D39)</f>
        <v>0.29640516544522905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0.27090663639267087</v>
      </c>
      <c r="D51" s="153">
        <f t="shared" si="42"/>
        <v>0.19278534078615217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3.3859639234883804E-2</v>
      </c>
      <c r="D52" s="153">
        <f t="shared" si="43"/>
        <v>3.3881401009736745E-2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>
        <f>IF(C36="","",(C36-C37)/C27)</f>
        <v>0.68239969489618901</v>
      </c>
      <c r="D55" s="156">
        <f t="shared" ref="D55:M55" si="45">IF(D36="","",(D36-D37)/D27)</f>
        <v>0.67333816105832567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0.11432702693285954</v>
      </c>
      <c r="D56" s="157">
        <f t="shared" si="46"/>
        <v>9.8308948776238456E-2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0.18111724011824573</v>
      </c>
      <c r="D57" s="153">
        <f t="shared" si="47"/>
        <v>0.10820870940114637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0.96378562214143304</v>
      </c>
      <c r="D58" s="158">
        <f t="shared" si="48"/>
        <v>0.89175655474295745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>Error</v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>
        <f>IF(C14="","",C14/(C36-C37))</f>
        <v>7.0726027344301209E-2</v>
      </c>
      <c r="D60" s="274">
        <f t="shared" ref="D60:M60" si="50">IF(D14="","",D14/(D36-D37))</f>
        <v>7.300365000859585E-2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>
        <f>IF(C22="","",C22/(C36-C37))</f>
        <v>7.9284652513197627E-3</v>
      </c>
      <c r="D61" s="274">
        <f t="shared" ref="D61:M61" si="51">IF(D22="","",D22/(D36-D37))</f>
        <v>7.5419929861800482E-3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1379544</v>
      </c>
      <c r="K3" s="24"/>
    </row>
    <row r="4" spans="1:11" ht="15" customHeight="1" x14ac:dyDescent="0.4">
      <c r="B4" s="3" t="s">
        <v>23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-23676.150000000023</v>
      </c>
      <c r="E6" s="56">
        <f>1-D6/D3</f>
        <v>1.017108664187145</v>
      </c>
      <c r="F6" s="87"/>
      <c r="G6" s="87"/>
      <c r="H6" s="1" t="s">
        <v>26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33448</v>
      </c>
      <c r="J12" s="87"/>
      <c r="K12" s="24"/>
    </row>
    <row r="13" spans="1:11" ht="13.9" x14ac:dyDescent="0.4">
      <c r="B13" s="3" t="s">
        <v>113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50</v>
      </c>
      <c r="I15" s="84">
        <f>SUM(I11:I14)</f>
        <v>33448</v>
      </c>
      <c r="J15" s="87"/>
    </row>
    <row r="16" spans="1:11" ht="13.9" x14ac:dyDescent="0.4">
      <c r="B16" s="1" t="s">
        <v>153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51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52</v>
      </c>
      <c r="I25" s="63">
        <f>E28/I28</f>
        <v>0.64035904051384285</v>
      </c>
    </row>
    <row r="26" spans="2:10" ht="15" customHeight="1" x14ac:dyDescent="0.4">
      <c r="B26" s="23" t="s">
        <v>53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54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56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60</v>
      </c>
      <c r="I31" s="40">
        <f>Inputs!C79</f>
        <v>62222</v>
      </c>
      <c r="J31" s="87"/>
    </row>
    <row r="32" spans="2:10" ht="15" customHeight="1" x14ac:dyDescent="0.4">
      <c r="B32" s="3" t="s">
        <v>61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62222</v>
      </c>
      <c r="J34" s="87"/>
    </row>
    <row r="35" spans="2:10" ht="13.9" x14ac:dyDescent="0.4">
      <c r="B35" s="3" t="s">
        <v>66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77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79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81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82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95670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102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92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167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227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121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155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4.1246730527015905E-2</v>
      </c>
      <c r="D87" s="209"/>
      <c r="E87" s="262">
        <f>E86*Exchange_Rate/Dashboard!G3</f>
        <v>4.1246730527015905E-2</v>
      </c>
      <c r="F87" s="209"/>
      <c r="H87" s="262">
        <f>H86*Exchange_Rate/Dashboard!G3</f>
        <v>4.1246730527015905E-2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216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5.2961064426392941</v>
      </c>
      <c r="H93" s="87" t="s">
        <v>204</v>
      </c>
      <c r="I93" s="144">
        <f>FV(H87,D93,0,-(H86/(C93-D94)))*Exchange_Rate</f>
        <v>5.2961064426392941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0</v>
      </c>
      <c r="H94" s="87" t="s">
        <v>205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80567.949085986387</v>
      </c>
      <c r="D97" s="213"/>
      <c r="E97" s="123">
        <f>PV(C94,D93,0,-F93)</f>
        <v>2.6331009109436438</v>
      </c>
      <c r="F97" s="213"/>
      <c r="H97" s="123">
        <f>PV(C94,D93,0,-I93)</f>
        <v>2.6331009109436438</v>
      </c>
      <c r="I97" s="123">
        <f>PV(C93,D93,0,-I93)</f>
        <v>3.5019323954790327</v>
      </c>
      <c r="K97" s="24"/>
    </row>
    <row r="98" spans="2:11" ht="15" customHeight="1" x14ac:dyDescent="0.4">
      <c r="B98" s="28" t="s">
        <v>140</v>
      </c>
      <c r="C98" s="91">
        <f>-E53*Exchange_Rate</f>
        <v>-4624.5481302340831</v>
      </c>
      <c r="D98" s="213"/>
      <c r="E98" s="213"/>
      <c r="F98" s="213"/>
      <c r="H98" s="123">
        <f>C98*Data!$C$4/Common_Shares</f>
        <v>-0.15113828802351981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75943.40095575231</v>
      </c>
      <c r="D100" s="109">
        <f>MIN(F100*(1-C94),E100)</f>
        <v>2.1096682294821054</v>
      </c>
      <c r="E100" s="109">
        <f>MAX(E97+H98+E99,0)</f>
        <v>2.4819626229201242</v>
      </c>
      <c r="F100" s="109">
        <f>(E100+H100)/2</f>
        <v>2.4819626229201242</v>
      </c>
      <c r="H100" s="109">
        <f>MAX(C100*Data!$C$4/Common_Shares,0)</f>
        <v>2.4819626229201242</v>
      </c>
      <c r="I100" s="109">
        <f>MAX(I97+H98+H99,0)</f>
        <v>3.350794107455513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37971.700477876155</v>
      </c>
      <c r="D106" s="109">
        <f>(D100+D103)/2</f>
        <v>1.0548341147410527</v>
      </c>
      <c r="E106" s="123">
        <f>(E100+E103)/2</f>
        <v>1.2409813114600621</v>
      </c>
      <c r="F106" s="109">
        <f>(F100+F103)/2</f>
        <v>1.2409813114600621</v>
      </c>
      <c r="H106" s="123">
        <f>(H100+H103)/2</f>
        <v>1.2409813114600621</v>
      </c>
      <c r="I106" s="123">
        <f>(I100+I103)/2</f>
        <v>1.6753970537277565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