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0C3411-5A68-4AE3-AAF4-E70A25F308B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E93" i="4"/>
  <c r="F92" i="4"/>
  <c r="F91" i="4"/>
  <c r="F97" i="4" s="1"/>
  <c r="E91" i="4"/>
  <c r="E92" i="4" s="1"/>
  <c r="D71" i="4"/>
  <c r="D69" i="4"/>
  <c r="D68" i="4"/>
  <c r="C68" i="4"/>
  <c r="D67" i="4"/>
  <c r="C65" i="4"/>
  <c r="D62" i="4"/>
  <c r="D63" i="4" s="1"/>
  <c r="D61" i="4"/>
  <c r="D60" i="4"/>
  <c r="D59" i="4"/>
  <c r="D58" i="4"/>
  <c r="C58" i="4"/>
  <c r="D55" i="4"/>
  <c r="D50" i="4"/>
  <c r="D56" i="4" s="1"/>
  <c r="C50" i="4"/>
  <c r="F44" i="4"/>
  <c r="D27" i="4"/>
  <c r="C27" i="4"/>
  <c r="B7" i="3"/>
  <c r="M53" i="2"/>
  <c r="F96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I53" i="2"/>
  <c r="J50" i="2"/>
  <c r="G53" i="2"/>
  <c r="H50" i="2"/>
  <c r="H53" i="2"/>
  <c r="I50" i="2"/>
  <c r="E53" i="2"/>
  <c r="F50" i="2"/>
  <c r="F53" i="2"/>
  <c r="G50" i="2"/>
  <c r="D53" i="2"/>
  <c r="E50" i="2"/>
  <c r="J53" i="2"/>
  <c r="K50" i="2"/>
  <c r="C53" i="2"/>
  <c r="D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G22" i="2"/>
  <c r="G61" i="2" s="1"/>
  <c r="G60" i="2"/>
  <c r="J15" i="2"/>
  <c r="K60" i="2"/>
  <c r="L15" i="2"/>
  <c r="M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G59" i="2" s="1"/>
  <c r="D40" i="2"/>
  <c r="D13" i="2"/>
  <c r="G40" i="2"/>
  <c r="K56" i="2"/>
  <c r="L24" i="2"/>
  <c r="L23" i="2" s="1"/>
  <c r="M57" i="2"/>
  <c r="M56" i="2"/>
  <c r="L59" i="2" l="1"/>
  <c r="D59" i="2"/>
  <c r="K59" i="2"/>
  <c r="D56" i="2"/>
  <c r="E57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<sst xmlns="http://schemas.openxmlformats.org/spreadsheetml/2006/main" count="393" uniqueCount="273">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</sst>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269</v>
      </c>
    </row>
    <row r="5" spans="1:5" ht="13.9" x14ac:dyDescent="0.4">
      <c r="B5" s="141" t="s">
        <v>191</v>
      </c>
      <c r="C5" s="191" t="s">
        <v>270</v>
      </c>
    </row>
    <row r="6" spans="1:5" ht="13.9" x14ac:dyDescent="0.4">
      <c r="B6" s="141" t="s">
        <v>159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271</v>
      </c>
    </row>
    <row r="10" spans="1:5" ht="13.9" x14ac:dyDescent="0.4">
      <c r="B10" s="140" t="s">
        <v>213</v>
      </c>
      <c r="C10" s="193">
        <v>1826710016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256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241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254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260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0.32051282051282048</v>
      </c>
      <c r="D45" s="152">
        <f>IF(D44="","",D44*Exchange_Rate/Dashboard!$G$3)</f>
        <v>2.1794822475435831E-2</v>
      </c>
      <c r="E45" s="152">
        <f>IF(E44="","",E44*Exchange_Rate/Dashboard!$G$3)</f>
        <v>5.128205128205128E-2</v>
      </c>
      <c r="F45" s="152">
        <f>IF(F44="","",F44*Exchange_Rate/Dashboard!$G$3)</f>
        <v>0.21794871794871795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922361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179879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258</v>
      </c>
      <c r="C54" s="59">
        <v>27002</v>
      </c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257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512565+1009</f>
        <v>513574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187576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11428</v>
      </c>
      <c r="D70" s="60">
        <v>0.05</v>
      </c>
      <c r="E70" s="112"/>
    </row>
    <row r="71" spans="2:5" ht="13.9" x14ac:dyDescent="0.4">
      <c r="B71" s="3" t="s">
        <v>72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7278</v>
      </c>
      <c r="D72" s="248">
        <v>0</v>
      </c>
      <c r="E72" s="249"/>
    </row>
    <row r="73" spans="2:5" ht="13.9" x14ac:dyDescent="0.4">
      <c r="B73" s="3" t="s">
        <v>36</v>
      </c>
      <c r="C73" s="59">
        <v>1149</v>
      </c>
    </row>
    <row r="74" spans="2:5" ht="13.9" x14ac:dyDescent="0.4">
      <c r="B74" s="3" t="s">
        <v>37</v>
      </c>
      <c r="C74" s="59">
        <v>13306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59</v>
      </c>
      <c r="C78" s="59">
        <v>70891</v>
      </c>
    </row>
    <row r="79" spans="2:5" ht="13.9" x14ac:dyDescent="0.4">
      <c r="B79" s="3" t="s">
        <v>61</v>
      </c>
      <c r="C79" s="59">
        <v>24307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95903</v>
      </c>
    </row>
    <row r="83" spans="2:8" ht="14.25" thickTop="1" x14ac:dyDescent="0.4">
      <c r="B83" s="73" t="s">
        <v>216</v>
      </c>
      <c r="C83" s="59">
        <v>3570139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103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243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252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0806.HK</v>
      </c>
      <c r="D3" s="282"/>
      <c r="E3" s="87"/>
      <c r="F3" s="3" t="s">
        <v>1</v>
      </c>
      <c r="G3" s="132">
        <v>1.56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VALUE PARTNERS</v>
      </c>
      <c r="D4" s="284"/>
      <c r="E4" s="87"/>
      <c r="F4" s="3" t="s">
        <v>3</v>
      </c>
      <c r="G4" s="287">
        <f>Inputs!C10</f>
        <v>1826710016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45636</v>
      </c>
      <c r="D5" s="286"/>
      <c r="E5" s="34"/>
      <c r="F5" s="35" t="s">
        <v>97</v>
      </c>
      <c r="G5" s="279">
        <f>G3*G4/1000000</f>
        <v>2849.66762496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0.45236920614696147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>
        <f>G3/(Data!C36*Data!C4/Common_Shares*Exchange_Rate)</f>
        <v>0.79819514729258445</v>
      </c>
    </row>
    <row r="24" spans="1:8" ht="15.75" customHeight="1" x14ac:dyDescent="0.4">
      <c r="B24" s="137" t="s">
        <v>166</v>
      </c>
      <c r="C24" s="171">
        <f>Fin_Analysis!I81</f>
        <v>1.4464238544369687E-2</v>
      </c>
      <c r="F24" s="140" t="s">
        <v>255</v>
      </c>
      <c r="G24" s="268">
        <f>G3/(Fin_Analysis!H86*G7)</f>
        <v>-32.817322945266412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-0.63110236433204636</v>
      </c>
    </row>
    <row r="26" spans="1:8" ht="15.75" customHeight="1" x14ac:dyDescent="0.4">
      <c r="B26" s="138" t="s">
        <v>169</v>
      </c>
      <c r="C26" s="171">
        <f>Fin_Analysis!I83</f>
        <v>-0.22487647031402955</v>
      </c>
      <c r="F26" s="141" t="s">
        <v>189</v>
      </c>
      <c r="G26" s="178">
        <f>Fin_Analysis!H88*Exchange_Rate/G3</f>
        <v>1.9230769230769228E-2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0.54180826353338019</v>
      </c>
      <c r="D29" s="129">
        <f>G29*(1+G20)</f>
        <v>0.70500306454498685</v>
      </c>
      <c r="E29" s="87"/>
      <c r="F29" s="131">
        <f>IF(Fin_Analysis!C108="Profit",Fin_Analysis!F100,IF(Fin_Analysis!C108="Dividend",Fin_Analysis!F103,Fin_Analysis!F106))</f>
        <v>0.63742148650985908</v>
      </c>
      <c r="G29" s="278">
        <f>IF(Fin_Analysis!C108="Profit",Fin_Analysis!I100,IF(Fin_Analysis!C108="Dividend",Fin_Analysis!I103,Fin_Analysis!I106))</f>
        <v>0.61304614308259731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unclear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264</v>
      </c>
      <c r="C50" s="272">
        <f>IF(C6="","",C6/C39)</f>
        <v>1.3459267140530522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0.28061826996286338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259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265</v>
      </c>
      <c r="C55" s="156">
        <f>IF(C36="","",(C36-C37)/C27)</f>
        <v>0.94926420264645617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-1.0558671445377692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-6.4320818110365441E-2</v>
      </c>
      <c r="D57" s="153">
        <f t="shared" si="47"/>
        <v>-3.5130919589818468E-2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13.425836564396494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266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267</v>
      </c>
      <c r="C60" s="274">
        <f>IF(C14="","",C14/(C36-C37))</f>
        <v>-3.0343916581399212E-2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268</v>
      </c>
      <c r="C61" s="274">
        <f>IF(C22="","",C22/(C36-C37))</f>
        <v>-3.2429829762930802E-2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3570139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1893640.4</v>
      </c>
      <c r="E6" s="56">
        <f>1-D6/D3</f>
        <v>0.46958916725651301</v>
      </c>
      <c r="F6" s="87"/>
      <c r="G6" s="87"/>
      <c r="H6" s="1" t="s">
        <v>27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28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36</v>
      </c>
      <c r="I11" s="40">
        <f>Inputs!C73</f>
        <v>1149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13306</v>
      </c>
      <c r="J12" s="87"/>
      <c r="K12" s="24"/>
    </row>
    <row r="13" spans="1:11" ht="13.9" x14ac:dyDescent="0.4">
      <c r="B13" s="3" t="s">
        <v>114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14455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52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53</v>
      </c>
      <c r="I25" s="63">
        <f>E28/I28</f>
        <v>10.830421864463924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57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70891</v>
      </c>
      <c r="J30" s="87"/>
    </row>
    <row r="31" spans="2:10" ht="15" customHeight="1" x14ac:dyDescent="0.4">
      <c r="B31" s="3" t="s">
        <v>60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61</v>
      </c>
      <c r="I31" s="40">
        <f>Inputs!C79</f>
        <v>24307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95198</v>
      </c>
      <c r="J34" s="87"/>
    </row>
    <row r="35" spans="2:10" ht="13.9" x14ac:dyDescent="0.4">
      <c r="B35" s="3" t="s">
        <v>67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78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80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82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83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109653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103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93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156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-3.0471711591704968E-2</v>
      </c>
      <c r="D87" s="209"/>
      <c r="E87" s="262">
        <f>E86*Exchange_Rate/Dashboard!G3</f>
        <v>-3.0471711591704968E-2</v>
      </c>
      <c r="F87" s="209"/>
      <c r="H87" s="262">
        <f>H86*Exchange_Rate/Dashboard!G3</f>
        <v>-3.0471711591704968E-2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217</v>
      </c>
      <c r="C89" s="261">
        <f>C88*Exchange_Rate/Dashboard!G3</f>
        <v>0.32051282051282048</v>
      </c>
      <c r="D89" s="209"/>
      <c r="E89" s="261">
        <f>E88*Exchange_Rate/Dashboard!G3</f>
        <v>0</v>
      </c>
      <c r="F89" s="209"/>
      <c r="H89" s="261">
        <f>H88*Exchange_Rate/Dashboard!G3</f>
        <v>1.9230769230769228E-2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-0.61466430172630271</v>
      </c>
      <c r="H93" s="87" t="s">
        <v>205</v>
      </c>
      <c r="I93" s="144">
        <f>FV(H87,D93,0,-(H86/(C93-D94)))*Exchange_Rate</f>
        <v>-0.61466430172630271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0</v>
      </c>
      <c r="H94" s="87" t="s">
        <v>206</v>
      </c>
      <c r="I94" s="144">
        <f>FV(H89,D93,0,-(H88/(C93-D94)))*Exchange_Rate</f>
        <v>0.49807873683990805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-558236.7186788317</v>
      </c>
      <c r="D97" s="213"/>
      <c r="E97" s="123">
        <f>PV(C94,D93,0,-F93)</f>
        <v>-0.30559679083668617</v>
      </c>
      <c r="F97" s="213"/>
      <c r="H97" s="123">
        <f>PV(C94,D93,0,-I93)</f>
        <v>-0.30559679083668617</v>
      </c>
      <c r="I97" s="123">
        <f>PV(C93,D93,0,-I93)</f>
        <v>-0.40643307567042436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1304056.1813211683</v>
      </c>
      <c r="D100" s="109">
        <f>MIN(F100*(1-C94),E100)</f>
        <v>0.54180826353338019</v>
      </c>
      <c r="E100" s="109">
        <f>MAX(E97+H98+E99,0)</f>
        <v>0.56096054510338234</v>
      </c>
      <c r="F100" s="109">
        <f>(E100+H100)/2</f>
        <v>0.63742148650985908</v>
      </c>
      <c r="H100" s="109">
        <f>MAX(C100*Data!$C$4/Common_Shares,0)</f>
        <v>0.71388242791633572</v>
      </c>
      <c r="I100" s="109">
        <f>MAX(I97+H98+H99,0)</f>
        <v>0.61304614308259731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452353.97422024945</v>
      </c>
      <c r="D103" s="109">
        <f>MIN(F103*(1-C94),E103)</f>
        <v>0</v>
      </c>
      <c r="E103" s="123">
        <f>PV(C94,D93,0,-F94)</f>
        <v>0</v>
      </c>
      <c r="F103" s="109">
        <f>(E103+H103)/2</f>
        <v>0.12381658015178078</v>
      </c>
      <c r="H103" s="123">
        <f>PV(C94,D93,0,-I94)</f>
        <v>0.24763316030356156</v>
      </c>
      <c r="I103" s="109">
        <f>PV(C93,D93,0,-I94)</f>
        <v>0.32934346824980271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512356.12316058413</v>
      </c>
      <c r="D106" s="109">
        <f>(D100+D103)/2</f>
        <v>0.27090413176669009</v>
      </c>
      <c r="E106" s="123">
        <f>(E100+E103)/2</f>
        <v>0.28048027255169117</v>
      </c>
      <c r="F106" s="109">
        <f>(F100+F103)/2</f>
        <v>0.38061903333081992</v>
      </c>
      <c r="H106" s="123">
        <f>(H100+H103)/2</f>
        <v>0.48075779410994862</v>
      </c>
      <c r="I106" s="123">
        <f>(I100+I103)/2</f>
        <v>0.47119480566619998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