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6B6FBB0-38E4-43BB-AD85-683FD7033D9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B7" i="3"/>
  <c r="M53" i="2"/>
  <c r="F94" i="4" l="1"/>
  <c r="F95" i="4"/>
  <c r="E95" i="4"/>
  <c r="F97" i="4"/>
  <c r="F96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27" i="2" l="1"/>
  <c r="K55" i="2"/>
  <c r="J27" i="2"/>
  <c r="J55" i="2"/>
  <c r="I27" i="2"/>
  <c r="I55" i="2"/>
  <c r="M27" i="2"/>
  <c r="M55" i="2"/>
  <c r="K53" i="2"/>
  <c r="L50" i="2"/>
  <c r="H53" i="2"/>
  <c r="I50" i="2"/>
  <c r="G53" i="2"/>
  <c r="H50" i="2"/>
  <c r="J53" i="2"/>
  <c r="K50" i="2"/>
  <c r="E53" i="2"/>
  <c r="F50" i="2"/>
  <c r="F53" i="2"/>
  <c r="G50" i="2"/>
  <c r="D53" i="2"/>
  <c r="E50" i="2"/>
  <c r="I53" i="2"/>
  <c r="J50" i="2"/>
  <c r="C53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K15" i="2" l="1"/>
  <c r="L60" i="2"/>
  <c r="F22" i="2"/>
  <c r="F61" i="2" s="1"/>
  <c r="F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F15" i="2"/>
  <c r="H15" i="2"/>
  <c r="G15" i="2"/>
  <c r="C15" i="2"/>
  <c r="H74" i="3" s="1"/>
  <c r="G57" i="2"/>
  <c r="D15" i="2"/>
  <c r="E15" i="2"/>
  <c r="K13" i="2"/>
  <c r="E13" i="2"/>
  <c r="E59" i="2" s="1"/>
  <c r="L13" i="2"/>
  <c r="L59" i="2" s="1"/>
  <c r="E40" i="2"/>
  <c r="G13" i="2"/>
  <c r="G59" i="2" s="1"/>
  <c r="E57" i="2"/>
  <c r="D40" i="2"/>
  <c r="D13" i="2"/>
  <c r="G40" i="2"/>
  <c r="K56" i="2"/>
  <c r="L24" i="2"/>
  <c r="L23" i="2" s="1"/>
  <c r="M57" i="2"/>
  <c r="M56" i="2"/>
  <c r="M59" i="2" l="1"/>
  <c r="D59" i="2"/>
  <c r="K59" i="2"/>
  <c r="D56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<sst xmlns="http://schemas.openxmlformats.org/spreadsheetml/2006/main" count="393" uniqueCount="276">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</sst>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266</v>
      </c>
    </row>
    <row r="5" spans="1:5" ht="13.9" x14ac:dyDescent="0.4">
      <c r="B5" s="141" t="s">
        <v>190</v>
      </c>
      <c r="C5" s="191" t="s">
        <v>267</v>
      </c>
    </row>
    <row r="6" spans="1:5" ht="13.9" x14ac:dyDescent="0.4">
      <c r="B6" s="141" t="s">
        <v>158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268</v>
      </c>
      <c r="E8" s="267"/>
    </row>
    <row r="9" spans="1:5" ht="13.9" x14ac:dyDescent="0.4">
      <c r="B9" s="140" t="s">
        <v>211</v>
      </c>
      <c r="C9" s="192" t="s">
        <v>269</v>
      </c>
    </row>
    <row r="10" spans="1:5" ht="13.9" x14ac:dyDescent="0.4">
      <c r="B10" s="140" t="s">
        <v>212</v>
      </c>
      <c r="C10" s="193">
        <v>1233841000</v>
      </c>
    </row>
    <row r="11" spans="1:5" ht="13.9" x14ac:dyDescent="0.4">
      <c r="B11" s="140" t="s">
        <v>213</v>
      </c>
      <c r="C11" s="192" t="s">
        <v>270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249</v>
      </c>
      <c r="C15" s="176" t="s">
        <v>253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271</v>
      </c>
      <c r="D17" s="24"/>
    </row>
    <row r="18" spans="2:13" ht="13.9" x14ac:dyDescent="0.4">
      <c r="B18" s="240" t="s">
        <v>233</v>
      </c>
      <c r="C18" s="242" t="s">
        <v>240</v>
      </c>
      <c r="D18" s="24"/>
    </row>
    <row r="19" spans="2:13" ht="13.9" x14ac:dyDescent="0.4">
      <c r="B19" s="240" t="s">
        <v>234</v>
      </c>
      <c r="C19" s="242" t="s">
        <v>271</v>
      </c>
      <c r="D19" s="24"/>
    </row>
    <row r="20" spans="2:13" ht="13.9" x14ac:dyDescent="0.4">
      <c r="B20" s="241" t="s">
        <v>223</v>
      </c>
      <c r="C20" s="242" t="s">
        <v>271</v>
      </c>
      <c r="D20" s="24"/>
    </row>
    <row r="21" spans="2:13" ht="13.9" x14ac:dyDescent="0.4">
      <c r="B21" s="224" t="s">
        <v>226</v>
      </c>
      <c r="C21" s="242" t="s">
        <v>272</v>
      </c>
      <c r="D21" s="24"/>
    </row>
    <row r="22" spans="2:13" ht="78.75" x14ac:dyDescent="0.4">
      <c r="B22" s="226" t="s">
        <v>225</v>
      </c>
      <c r="C22" s="243" t="s">
        <v>273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250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257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246</v>
      </c>
      <c r="C45" s="152">
        <f>IF(C44="","",C44*Exchange_Rate/Dashboard!$G$3)</f>
        <v>5.7455666042054591E-2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244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245</v>
      </c>
      <c r="C86" s="197">
        <v>5</v>
      </c>
    </row>
    <row r="87" spans="2:8" ht="13.9" x14ac:dyDescent="0.4">
      <c r="B87" s="10" t="s">
        <v>243</v>
      </c>
      <c r="C87" s="236" t="s">
        <v>274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102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242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250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241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202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0811.HK</v>
      </c>
      <c r="D3" s="282"/>
      <c r="E3" s="87"/>
      <c r="F3" s="3" t="s">
        <v>1</v>
      </c>
      <c r="G3" s="132">
        <v>10.98</v>
      </c>
      <c r="H3" s="134" t="s">
        <v>275</v>
      </c>
    </row>
    <row r="4" spans="1:10" ht="15.75" customHeight="1" x14ac:dyDescent="0.4">
      <c r="B4" s="35" t="s">
        <v>190</v>
      </c>
      <c r="C4" s="283" t="str">
        <f>Inputs!C5</f>
        <v>新华文轩</v>
      </c>
      <c r="D4" s="284"/>
      <c r="E4" s="87"/>
      <c r="F4" s="3" t="s">
        <v>2</v>
      </c>
      <c r="G4" s="287">
        <f>Inputs!C10</f>
        <v>1233841000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45604</v>
      </c>
      <c r="D5" s="286"/>
      <c r="E5" s="34"/>
      <c r="F5" s="35" t="s">
        <v>96</v>
      </c>
      <c r="G5" s="279">
        <f>G3*G4/1000000</f>
        <v>13547.57418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248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0.6223905170283478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0.25619685036829964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5.5277235668845723E-3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1.5061272402478966E-3</v>
      </c>
      <c r="F24" s="140" t="s">
        <v>252</v>
      </c>
      <c r="G24" s="268">
        <f>G3/(Fin_Analysis!H86*G7)</f>
        <v>12.444462170318046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0.71500486253077544</v>
      </c>
    </row>
    <row r="26" spans="1:8" ht="15.75" customHeight="1" x14ac:dyDescent="0.4">
      <c r="B26" s="138" t="s">
        <v>168</v>
      </c>
      <c r="C26" s="171">
        <f>Fin_Analysis!I83</f>
        <v>0.11437878179622009</v>
      </c>
      <c r="F26" s="141" t="s">
        <v>188</v>
      </c>
      <c r="G26" s="178">
        <f>Fin_Analysis!H88*Exchange_Rate/G3</f>
        <v>5.7455666042054591E-2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251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5.3209586972656204</v>
      </c>
      <c r="D29" s="129">
        <f>G29*(1+G20)</f>
        <v>9.5743446526100051</v>
      </c>
      <c r="E29" s="87"/>
      <c r="F29" s="131">
        <f>IF(Fin_Analysis!C108="Profit",Fin_Analysis!F100,IF(Fin_Analysis!C108="Dividend",Fin_Analysis!F103,Fin_Analysis!F106))</f>
        <v>6.2599514085477885</v>
      </c>
      <c r="G29" s="278">
        <f>IF(Fin_Analysis!C108="Profit",Fin_Analysis!I100,IF(Fin_Analysis!C108="Dividend",Fin_Analysis!I103,Fin_Analysis!I106))</f>
        <v>8.3255170892260928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unclear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250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261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256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260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262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1.316789020302077E-2</v>
      </c>
      <c r="D57" s="153">
        <f t="shared" si="47"/>
        <v>1.5826061576241422E-2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263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264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265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102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92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242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167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227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250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241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155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8.0357028396546834E-2</v>
      </c>
      <c r="D87" s="209"/>
      <c r="E87" s="262">
        <f>E86*Exchange_Rate/Dashboard!G3</f>
        <v>8.0357028396546834E-2</v>
      </c>
      <c r="F87" s="209"/>
      <c r="H87" s="262">
        <f>H86*Exchange_Rate/Dashboard!G3</f>
        <v>8.0357028396546834E-2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216</v>
      </c>
      <c r="C89" s="261">
        <f>C88*Exchange_Rate/Dashboard!G3</f>
        <v>5.7455666042054591E-2</v>
      </c>
      <c r="D89" s="209"/>
      <c r="E89" s="261">
        <f>E88*Exchange_Rate/Dashboard!G3</f>
        <v>5.7455666042054591E-2</v>
      </c>
      <c r="F89" s="209"/>
      <c r="H89" s="261">
        <f>H88*Exchange_Rate/Dashboard!G3</f>
        <v>5.7455666042054591E-2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19.600937046958816</v>
      </c>
      <c r="H93" s="87" t="s">
        <v>204</v>
      </c>
      <c r="I93" s="144">
        <f>FV(H87,D93,0,-(H86/(C93-D94)))*Exchange_Rate</f>
        <v>19.600937046958816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12.590998258983339</v>
      </c>
      <c r="H94" s="87" t="s">
        <v>205</v>
      </c>
      <c r="I94" s="144">
        <f>FV(H89,D93,0,-(H88/(C93-D94)))*Exchange_Rate</f>
        <v>12.590998258983339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12023940808.353672</v>
      </c>
      <c r="D97" s="213"/>
      <c r="E97" s="123">
        <f>PV(C94,D93,0,-F93)</f>
        <v>9.7451298897942866</v>
      </c>
      <c r="F97" s="213"/>
      <c r="H97" s="123">
        <f>PV(C94,D93,0,-I93)</f>
        <v>9.7451298897942866</v>
      </c>
      <c r="I97" s="123">
        <f>PV(C93,D93,0,-I93)</f>
        <v>12.960682941312477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12023940808.353672</v>
      </c>
      <c r="D100" s="109">
        <f>MIN(F100*(1-C94),E100)</f>
        <v>8.2833604063251443</v>
      </c>
      <c r="E100" s="109">
        <f>MAX(E97+H98+E99,0)</f>
        <v>9.7451298897942866</v>
      </c>
      <c r="F100" s="109">
        <f>(E100+H100)/2</f>
        <v>9.7451298897942866</v>
      </c>
      <c r="H100" s="109">
        <f>MAX(C100*Data!$C$4/Common_Shares,0)</f>
        <v>9.7451298897942866</v>
      </c>
      <c r="I100" s="109">
        <f>MAX(I97+H98+H99,0)</f>
        <v>12.960682941312477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7723784705.874012</v>
      </c>
      <c r="D103" s="109">
        <f>MIN(F103*(1-C94),E103)</f>
        <v>5.3209586972656204</v>
      </c>
      <c r="E103" s="123">
        <f>PV(C94,D93,0,-F94)</f>
        <v>6.2599514085477885</v>
      </c>
      <c r="F103" s="109">
        <f>(E103+H103)/2</f>
        <v>6.2599514085477885</v>
      </c>
      <c r="H103" s="123">
        <f>PV(C94,D93,0,-I94)</f>
        <v>6.2599514085477885</v>
      </c>
      <c r="I103" s="109">
        <f>PV(C93,D93,0,-I94)</f>
        <v>8.3255170892260928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9873862757.1138439</v>
      </c>
      <c r="D106" s="109">
        <f>(D100+D103)/2</f>
        <v>6.8021595517953823</v>
      </c>
      <c r="E106" s="123">
        <f>(E100+E103)/2</f>
        <v>8.0025406491710385</v>
      </c>
      <c r="F106" s="109">
        <f>(F100+F103)/2</f>
        <v>8.0025406491710385</v>
      </c>
      <c r="H106" s="123">
        <f>(H100+H103)/2</f>
        <v>8.0025406491710385</v>
      </c>
      <c r="I106" s="123">
        <f>(I100+I103)/2</f>
        <v>10.643100015269285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