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5FCE8DF-E3B8-438C-A224-FBABCB64382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C44" i="4"/>
  <c r="B7" i="3"/>
  <c r="M53" i="2"/>
  <c r="E95" i="4" l="1"/>
  <c r="F96" i="4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I27" i="2"/>
  <c r="I55" i="2"/>
  <c r="M27" i="2"/>
  <c r="M55" i="2"/>
  <c r="K27" i="2"/>
  <c r="K55" i="2"/>
  <c r="J53" i="2"/>
  <c r="K50" i="2"/>
  <c r="H53" i="2"/>
  <c r="I50" i="2"/>
  <c r="E53" i="2"/>
  <c r="F50" i="2"/>
  <c r="F53" i="2"/>
  <c r="G50" i="2"/>
  <c r="K53" i="2"/>
  <c r="L50" i="2"/>
  <c r="I53" i="2"/>
  <c r="J50" i="2"/>
  <c r="D53" i="2"/>
  <c r="E50" i="2"/>
  <c r="G53" i="2"/>
  <c r="H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F22" i="2"/>
  <c r="F61" i="2" s="1"/>
  <c r="F60" i="2"/>
  <c r="K15" i="2"/>
  <c r="L60" i="2"/>
  <c r="E22" i="2"/>
  <c r="E61" i="2" s="1"/>
  <c r="E60" i="2"/>
  <c r="J15" i="2"/>
  <c r="K60" i="2"/>
  <c r="D22" i="2"/>
  <c r="D61" i="2" s="1"/>
  <c r="D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D59" i="2" l="1"/>
  <c r="G59" i="2"/>
  <c r="E59" i="2"/>
  <c r="M59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1" i="2"/>
  <c r="E99" i="3"/>
  <c r="G23" i="1"/>
  <c r="E53" i="3" s="1"/>
  <c r="C27" i="2"/>
  <c r="C37" i="2"/>
  <c r="C55" i="2" s="1"/>
  <c r="C60" i="2" l="1"/>
  <c r="C59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<sst xmlns="http://schemas.openxmlformats.org/spreadsheetml/2006/main" count="393" uniqueCount="274">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</sst>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21481669957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248</v>
      </c>
      <c r="C15" s="176" t="s">
        <v>252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270</v>
      </c>
      <c r="D18" s="24"/>
    </row>
    <row r="19" spans="2:13" ht="13.9" x14ac:dyDescent="0.4">
      <c r="B19" s="240" t="s">
        <v>234</v>
      </c>
      <c r="C19" s="242" t="s">
        <v>270</v>
      </c>
      <c r="D19" s="24"/>
    </row>
    <row r="20" spans="2:13" ht="13.9" x14ac:dyDescent="0.4">
      <c r="B20" s="241" t="s">
        <v>223</v>
      </c>
      <c r="C20" s="242" t="s">
        <v>270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249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245</v>
      </c>
      <c r="C45" s="152">
        <f>IF(C44="","",C44*Exchange_Rate/Dashboard!$G$3)</f>
        <v>6.4667460633085122E-2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243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172891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176336</v>
      </c>
      <c r="D51" s="60">
        <v>0.6</v>
      </c>
      <c r="E51" s="112"/>
    </row>
    <row r="52" spans="2:5" ht="13.9" x14ac:dyDescent="0.4">
      <c r="B52" s="3" t="s">
        <v>40</v>
      </c>
      <c r="C52" s="59">
        <v>19344</v>
      </c>
      <c r="D52" s="60">
        <v>0.5</v>
      </c>
      <c r="E52" s="112"/>
    </row>
    <row r="53" spans="2:5" ht="13.9" x14ac:dyDescent="0.4">
      <c r="B53" s="1" t="s">
        <v>153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254</v>
      </c>
      <c r="C54" s="59">
        <v>28822</v>
      </c>
      <c r="D54" s="60">
        <v>0.1</v>
      </c>
      <c r="E54" s="112"/>
    </row>
    <row r="55" spans="2:5" ht="13.9" x14ac:dyDescent="0.4">
      <c r="B55" s="3" t="s">
        <v>43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185013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94862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34291</v>
      </c>
      <c r="D70" s="60">
        <v>0.05</v>
      </c>
      <c r="E70" s="112"/>
    </row>
    <row r="71" spans="2:5" ht="13.9" x14ac:dyDescent="0.4">
      <c r="B71" s="3" t="s">
        <v>71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79740</v>
      </c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33448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62222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83483</v>
      </c>
    </row>
    <row r="83" spans="2:8" ht="14.25" thickTop="1" x14ac:dyDescent="0.4">
      <c r="B83" s="73" t="s">
        <v>215</v>
      </c>
      <c r="C83" s="59">
        <v>1379544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244</v>
      </c>
      <c r="C86" s="197">
        <v>5</v>
      </c>
    </row>
    <row r="87" spans="2:8" ht="13.9" x14ac:dyDescent="0.4">
      <c r="B87" s="10" t="s">
        <v>242</v>
      </c>
      <c r="C87" s="236" t="s">
        <v>272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102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241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249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240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106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167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202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0941.HK</v>
      </c>
      <c r="D3" s="282"/>
      <c r="E3" s="87"/>
      <c r="F3" s="3" t="s">
        <v>1</v>
      </c>
      <c r="G3" s="132">
        <v>75.2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中国移动</v>
      </c>
      <c r="D4" s="284"/>
      <c r="E4" s="87"/>
      <c r="F4" s="3" t="s">
        <v>2</v>
      </c>
      <c r="G4" s="287">
        <f>Inputs!C10</f>
        <v>21481669957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45603</v>
      </c>
      <c r="D5" s="286"/>
      <c r="E5" s="34"/>
      <c r="F5" s="35" t="s">
        <v>96</v>
      </c>
      <c r="G5" s="279">
        <f>G3*G4/1000000</f>
        <v>1615421.5807664001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247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0.8668930922046667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2.2325505205376484E-4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2.2215198715160572E-2</v>
      </c>
      <c r="F23" s="140" t="s">
        <v>183</v>
      </c>
      <c r="G23" s="177">
        <f>G3/(Data!C36*Data!C4/Common_Shares*Exchange_Rate)</f>
        <v>1.0917110537965624</v>
      </c>
    </row>
    <row r="24" spans="1:8" ht="15.75" customHeight="1" x14ac:dyDescent="0.4">
      <c r="B24" s="137" t="s">
        <v>165</v>
      </c>
      <c r="C24" s="171">
        <f>Fin_Analysis!I81</f>
        <v>3.6955976811858409E-3</v>
      </c>
      <c r="F24" s="140" t="s">
        <v>251</v>
      </c>
      <c r="G24" s="268">
        <f>G3/(Fin_Analysis!H86*G7)</f>
        <v>24.535789171801675</v>
      </c>
    </row>
    <row r="25" spans="1:8" ht="15.75" customHeight="1" x14ac:dyDescent="0.4">
      <c r="B25" s="137" t="s">
        <v>238</v>
      </c>
      <c r="C25" s="171">
        <f>Fin_Analysis!I82</f>
        <v>2.5630406545468234E-2</v>
      </c>
      <c r="F25" s="140" t="s">
        <v>169</v>
      </c>
      <c r="G25" s="171">
        <f>Fin_Analysis!I88</f>
        <v>1.5866671803691612</v>
      </c>
    </row>
    <row r="26" spans="1:8" ht="15.75" customHeight="1" x14ac:dyDescent="0.4">
      <c r="B26" s="138" t="s">
        <v>168</v>
      </c>
      <c r="C26" s="171">
        <f>Fin_Analysis!I83</f>
        <v>8.1342449801464822E-2</v>
      </c>
      <c r="F26" s="141" t="s">
        <v>188</v>
      </c>
      <c r="G26" s="178">
        <f>Fin_Analysis!H88*Exchange_Rate/G3</f>
        <v>6.4667460633085122E-2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250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42.434334360321991</v>
      </c>
      <c r="D29" s="129">
        <f>G29*(1+G20)</f>
        <v>76.35483855166872</v>
      </c>
      <c r="E29" s="87"/>
      <c r="F29" s="131">
        <f>IF(Fin_Analysis!C108="Profit",Fin_Analysis!F100,IF(Fin_Analysis!C108="Dividend",Fin_Analysis!F103,Fin_Analysis!F106))</f>
        <v>49.922746306261168</v>
      </c>
      <c r="G29" s="278">
        <f>IF(Fin_Analysis!C108="Profit",Fin_Analysis!I100,IF(Fin_Analysis!C108="Dividend",Fin_Analysis!I103,Fin_Analysis!I106))</f>
        <v>66.395511784059764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agree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249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0.11138591111982202</v>
      </c>
      <c r="D40" s="155">
        <f>IF(D6="","",D14/MAX(D39,0))</f>
        <v>0.1076571445750132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0.8668930922046667</v>
      </c>
      <c r="D43" s="153">
        <f t="shared" si="35"/>
        <v>0.86225899137805029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2.2215198715160572E-2</v>
      </c>
      <c r="D44" s="153">
        <f t="shared" si="36"/>
        <v>2.4337989819249534E-2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3.6955976811858409E-3</v>
      </c>
      <c r="D45" s="153">
        <f t="shared" si="37"/>
        <v>2.4859723939700765E-3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2.2325505205376484E-4</v>
      </c>
      <c r="D46" s="153">
        <f t="shared" ref="D46:M46" si="38">IF(D6="","",MAX(D12,0)/D6)</f>
        <v>1.9204936949125055E-4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2.5630406545468234E-2</v>
      </c>
      <c r="D47" s="153">
        <f t="shared" ref="D47:M47" si="39">IF(D6="","",ABS(MAX(D21,0)-MAX(D19,0))/D6)</f>
        <v>1.1191143536631816E-2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8.1342449801464822E-2</v>
      </c>
      <c r="D48" s="153">
        <f t="shared" si="40"/>
        <v>9.9533853502607073E-2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>
        <f>IF(C6="","",C6/C39)</f>
        <v>0.83822132233985658</v>
      </c>
      <c r="D50" s="272">
        <f t="shared" ref="D50:M50" si="41">IF(D6="","",D6/D39)</f>
        <v>0.78268236386593359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0.10000802529255164</v>
      </c>
      <c r="D51" s="153">
        <f t="shared" si="42"/>
        <v>7.3008634753040522E-2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1.2499640843388893E-2</v>
      </c>
      <c r="D52" s="153">
        <f t="shared" si="43"/>
        <v>1.2831031763898772E-2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>
        <f>IF(D6="","",C16/(C6-D6))</f>
        <v>0.31120055517002082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>
        <f>IF(C36="","",(C36-C37)/C27)</f>
        <v>0.68239969489618901</v>
      </c>
      <c r="D55" s="156">
        <f t="shared" ref="D55:M55" si="45">IF(D36="","",(D36-D37)/D27)</f>
        <v>0.67333816105832567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0.85815476812654601</v>
      </c>
      <c r="D56" s="157">
        <f t="shared" si="46"/>
        <v>0.90629918200011661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4.5432583973138346E-2</v>
      </c>
      <c r="D57" s="153">
        <f t="shared" si="47"/>
        <v>2.4976149385243705E-2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0.96378562214143304</v>
      </c>
      <c r="D58" s="158">
        <f t="shared" si="48"/>
        <v>0.89175655474295745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>Error</v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>
        <f>IF(C14="","",C14/(C36-C37))</f>
        <v>9.7221014093545874E-2</v>
      </c>
      <c r="D60" s="274">
        <f t="shared" ref="D60:M60" si="50">IF(D14="","",D14/(D36-D37))</f>
        <v>9.6084016778313408E-2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>
        <f>IF(C22="","",C22/(C36-C37))</f>
        <v>5.9512176970554512E-2</v>
      </c>
      <c r="D61" s="274">
        <f t="shared" ref="D61:M61" si="51">IF(D22="","",D22/(D36-D37))</f>
        <v>6.9528788163359001E-2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1379544</v>
      </c>
      <c r="K3" s="24"/>
    </row>
    <row r="4" spans="1:11" ht="15" customHeight="1" x14ac:dyDescent="0.4">
      <c r="B4" s="3" t="s">
        <v>23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-24072.800307670157</v>
      </c>
      <c r="E6" s="56">
        <f>1-D6/D3</f>
        <v>1.0173952883601483</v>
      </c>
      <c r="F6" s="87"/>
      <c r="G6" s="87"/>
      <c r="H6" s="1" t="s">
        <v>26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33448</v>
      </c>
      <c r="J12" s="87"/>
      <c r="K12" s="24"/>
    </row>
    <row r="13" spans="1:11" ht="13.9" x14ac:dyDescent="0.4">
      <c r="B13" s="3" t="s">
        <v>113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50</v>
      </c>
      <c r="I15" s="84">
        <f>SUM(I11:I14)</f>
        <v>33448</v>
      </c>
      <c r="J15" s="87"/>
    </row>
    <row r="16" spans="1:11" ht="13.9" x14ac:dyDescent="0.4">
      <c r="B16" s="1" t="s">
        <v>153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51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52</v>
      </c>
      <c r="I25" s="63">
        <f>E28/I28</f>
        <v>0.64035904051384285</v>
      </c>
    </row>
    <row r="26" spans="2:10" ht="15" customHeight="1" x14ac:dyDescent="0.4">
      <c r="B26" s="23" t="s">
        <v>53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54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56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60</v>
      </c>
      <c r="I31" s="40">
        <f>Inputs!C79</f>
        <v>62222</v>
      </c>
      <c r="J31" s="87"/>
    </row>
    <row r="32" spans="2:10" ht="15" customHeight="1" x14ac:dyDescent="0.4">
      <c r="B32" s="3" t="s">
        <v>61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62222</v>
      </c>
      <c r="J34" s="87"/>
    </row>
    <row r="35" spans="2:10" ht="13.9" x14ac:dyDescent="0.4">
      <c r="B35" s="3" t="s">
        <v>66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77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79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81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82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4325</v>
      </c>
      <c r="D53" s="29">
        <f>IF(E53=0, 0,E53/C53)</f>
        <v>1.0917110537965624</v>
      </c>
      <c r="E53" s="88">
        <f>IF(C53=0,0,MAX(C53,C53*Dashboard!G23))</f>
        <v>4721.6503076701329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95670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102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92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241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167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227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106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127</v>
      </c>
    </row>
    <row r="81" spans="1:11" ht="15" customHeight="1" x14ac:dyDescent="0.4">
      <c r="B81" s="104" t="s">
        <v>249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240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121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155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4.0756789724508767E-2</v>
      </c>
      <c r="D87" s="209"/>
      <c r="E87" s="262">
        <f>E86*Exchange_Rate/Dashboard!G3</f>
        <v>4.0756789724508767E-2</v>
      </c>
      <c r="F87" s="209"/>
      <c r="H87" s="262">
        <f>H86*Exchange_Rate/Dashboard!G3</f>
        <v>4.0756789724508767E-2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216</v>
      </c>
      <c r="C89" s="261">
        <f>C88*Exchange_Rate/Dashboard!G3</f>
        <v>6.4667460633085122E-2</v>
      </c>
      <c r="D89" s="209"/>
      <c r="E89" s="261">
        <f>E88*Exchange_Rate/Dashboard!G3</f>
        <v>6.4667460633085122E-2</v>
      </c>
      <c r="F89" s="209"/>
      <c r="H89" s="261">
        <f>H88*Exchange_Rate/Dashboard!G3</f>
        <v>6.4667460633085122E-2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56.490860592565831</v>
      </c>
      <c r="H93" s="87" t="s">
        <v>204</v>
      </c>
      <c r="I93" s="144">
        <f>FV(H87,D93,0,-(H86/(C93-D94)))*Exchange_Rate</f>
        <v>56.490860592565831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100.41247460283745</v>
      </c>
      <c r="H94" s="87" t="s">
        <v>205</v>
      </c>
      <c r="I94" s="144">
        <f>FV(H89,D93,0,-(H88/(C93-D94)))*Exchange_Rate</f>
        <v>100.41247460283745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603332.9288194353</v>
      </c>
      <c r="D97" s="213"/>
      <c r="E97" s="123">
        <f>PV(C94,D93,0,-F93)</f>
        <v>28.085941643602698</v>
      </c>
      <c r="F97" s="213"/>
      <c r="H97" s="123">
        <f>PV(C94,D93,0,-I93)</f>
        <v>28.085941643602698</v>
      </c>
      <c r="I97" s="123">
        <f>PV(C93,D93,0,-I93)</f>
        <v>37.353323030835789</v>
      </c>
      <c r="K97" s="24"/>
    </row>
    <row r="98" spans="2:11" ht="15" customHeight="1" x14ac:dyDescent="0.4">
      <c r="B98" s="28" t="s">
        <v>140</v>
      </c>
      <c r="C98" s="91">
        <f>-E53*Exchange_Rate</f>
        <v>-5048.6703125907734</v>
      </c>
      <c r="D98" s="213"/>
      <c r="E98" s="213"/>
      <c r="F98" s="213"/>
      <c r="H98" s="123">
        <f>C98*Data!$C$4/Common_Shares</f>
        <v>-0.23502224560272689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598284.25850684452</v>
      </c>
      <c r="D100" s="109">
        <f>MIN(F100*(1-C94),E100)</f>
        <v>23.673281488299974</v>
      </c>
      <c r="E100" s="109">
        <f>MAX(E97+H98+E99,0)</f>
        <v>27.85091939799997</v>
      </c>
      <c r="F100" s="109">
        <f>(E100+H100)/2</f>
        <v>27.85091939799997</v>
      </c>
      <c r="H100" s="109">
        <f>MAX(C100*Data!$C$4/Common_Shares,0)</f>
        <v>27.85091939799997</v>
      </c>
      <c r="I100" s="109">
        <f>MAX(I97+H98+H99,0)</f>
        <v>37.11830078523306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1072423.9594981433</v>
      </c>
      <c r="D103" s="109">
        <f>MIN(F103*(1-C94),E103)</f>
        <v>42.434334360321991</v>
      </c>
      <c r="E103" s="123">
        <f>PV(C94,D93,0,-F94)</f>
        <v>49.922746306261168</v>
      </c>
      <c r="F103" s="109">
        <f>(E103+H103)/2</f>
        <v>49.922746306261168</v>
      </c>
      <c r="H103" s="123">
        <f>PV(C94,D93,0,-I94)</f>
        <v>49.922746306261168</v>
      </c>
      <c r="I103" s="109">
        <f>PV(C93,D93,0,-I94)</f>
        <v>66.395511784059764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835354.10900249379</v>
      </c>
      <c r="D106" s="109">
        <f>(D100+D103)/2</f>
        <v>33.053807924310981</v>
      </c>
      <c r="E106" s="123">
        <f>(E100+E103)/2</f>
        <v>38.886832852130567</v>
      </c>
      <c r="F106" s="109">
        <f>(F100+F103)/2</f>
        <v>38.886832852130567</v>
      </c>
      <c r="H106" s="123">
        <f>(H100+H103)/2</f>
        <v>38.886832852130567</v>
      </c>
      <c r="I106" s="123">
        <f>(I100+I103)/2</f>
        <v>51.756906284646412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