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E19F29E-F53B-458A-94F5-D52CC3E5026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5" i="4" l="1"/>
  <c r="F96" i="4"/>
  <c r="F94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K53" i="2"/>
  <c r="L50" i="2"/>
  <c r="G53" i="2"/>
  <c r="H50" i="2"/>
  <c r="F53" i="2"/>
  <c r="G50" i="2"/>
  <c r="I53" i="2"/>
  <c r="J50" i="2"/>
  <c r="D53" i="2"/>
  <c r="E50" i="2"/>
  <c r="E53" i="2"/>
  <c r="F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22" i="2" l="1"/>
  <c r="E61" i="2" s="1"/>
  <c r="E60" i="2"/>
  <c r="F22" i="2"/>
  <c r="F61" i="2" s="1"/>
  <c r="F60" i="2"/>
  <c r="K15" i="2"/>
  <c r="L60" i="2"/>
  <c r="L15" i="2"/>
  <c r="M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M59" i="2" l="1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E99" i="3"/>
  <c r="G23" i="1"/>
  <c r="E53" i="3" s="1"/>
  <c r="C27" i="2"/>
  <c r="C37" i="2"/>
  <c r="C55" i="2" s="1"/>
  <c r="C61" i="2" l="1"/>
  <c r="C59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<sst xmlns="http://schemas.openxmlformats.org/spreadsheetml/2006/main" count="393" uniqueCount="275">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</sst>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53487810534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248</v>
      </c>
      <c r="C15" s="176" t="s">
        <v>252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270</v>
      </c>
      <c r="D18" s="24"/>
    </row>
    <row r="19" spans="2:13" ht="13.9" x14ac:dyDescent="0.4">
      <c r="B19" s="240" t="s">
        <v>234</v>
      </c>
      <c r="C19" s="242" t="s">
        <v>270</v>
      </c>
      <c r="D19" s="24"/>
    </row>
    <row r="20" spans="2:13" ht="13.9" x14ac:dyDescent="0.4">
      <c r="B20" s="241" t="s">
        <v>223</v>
      </c>
      <c r="C20" s="242" t="s">
        <v>270</v>
      </c>
      <c r="D20" s="24"/>
    </row>
    <row r="21" spans="2:13" ht="13.9" x14ac:dyDescent="0.4">
      <c r="B21" s="224" t="s">
        <v>226</v>
      </c>
      <c r="C21" s="242" t="s">
        <v>271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249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245</v>
      </c>
      <c r="C45" s="152">
        <f>IF(C44="","",C44*Exchange_Rate/Dashboard!$G$3)</f>
        <v>0.1096742663102616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243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244</v>
      </c>
      <c r="C86" s="197">
        <v>5</v>
      </c>
    </row>
    <row r="87" spans="2:8" ht="13.9" x14ac:dyDescent="0.4">
      <c r="B87" s="10" t="s">
        <v>242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102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241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249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240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202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0998.HK</v>
      </c>
      <c r="D3" s="282"/>
      <c r="E3" s="87"/>
      <c r="F3" s="3" t="s">
        <v>1</v>
      </c>
      <c r="G3" s="132">
        <v>4.9800000000000004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中信银行</v>
      </c>
      <c r="D4" s="284"/>
      <c r="E4" s="87"/>
      <c r="F4" s="3" t="s">
        <v>2</v>
      </c>
      <c r="G4" s="287">
        <f>Inputs!C10</f>
        <v>53487810534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45606</v>
      </c>
      <c r="D5" s="286"/>
      <c r="E5" s="34"/>
      <c r="F5" s="35" t="s">
        <v>96</v>
      </c>
      <c r="G5" s="279">
        <f>G3*G4/1000000</f>
        <v>266369.29645932006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247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0.18760554961924605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0.19513886735214594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3.9320610522022457E-3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0.49099920776112166</v>
      </c>
      <c r="F24" s="140" t="s">
        <v>251</v>
      </c>
      <c r="G24" s="268">
        <f>G3/(Fin_Analysis!H86*G7)</f>
        <v>7.6555562154380112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0.53602049799902873</v>
      </c>
    </row>
    <row r="26" spans="1:8" ht="15.75" customHeight="1" x14ac:dyDescent="0.4">
      <c r="B26" s="138" t="s">
        <v>168</v>
      </c>
      <c r="C26" s="171">
        <f>Fin_Analysis!I83</f>
        <v>0.12232431421528413</v>
      </c>
      <c r="F26" s="141" t="s">
        <v>188</v>
      </c>
      <c r="G26" s="178">
        <f>Fin_Analysis!H88*Exchange_Rate/G3</f>
        <v>7.0017185285388223E-2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250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3.1198347871659031</v>
      </c>
      <c r="D29" s="129">
        <f>G29*(1+G20)</f>
        <v>5.6137202355805895</v>
      </c>
      <c r="E29" s="87"/>
      <c r="F29" s="131">
        <f>IF(Fin_Analysis!C108="Profit",Fin_Analysis!F100,IF(Fin_Analysis!C108="Dividend",Fin_Analysis!F103,Fin_Analysis!F106))</f>
        <v>3.670393867254004</v>
      </c>
      <c r="G29" s="278">
        <f>IF(Fin_Analysis!C108="Profit",Fin_Analysis!I100,IF(Fin_Analysis!C108="Dividend",Fin_Analysis!I103,Fin_Analysis!I106))</f>
        <v>4.8814958570266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249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4.0139134309552702</v>
      </c>
      <c r="D57" s="153">
        <f t="shared" si="47"/>
        <v>3.3661025351492042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102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92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241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167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227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249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240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155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0.13062408162889902</v>
      </c>
      <c r="D87" s="209"/>
      <c r="E87" s="262">
        <f>E86*Exchange_Rate/Dashboard!G3</f>
        <v>0.13062408162889902</v>
      </c>
      <c r="F87" s="209"/>
      <c r="H87" s="262">
        <f>H86*Exchange_Rate/Dashboard!G3</f>
        <v>0.13062408162889902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216</v>
      </c>
      <c r="C89" s="261">
        <f>C88*Exchange_Rate/Dashboard!G3</f>
        <v>0.1096742663102616</v>
      </c>
      <c r="D89" s="209"/>
      <c r="E89" s="261">
        <f>E88*Exchange_Rate/Dashboard!G3</f>
        <v>7.0017185285388223E-2</v>
      </c>
      <c r="F89" s="209"/>
      <c r="H89" s="261">
        <f>H88*Exchange_Rate/Dashboard!G3</f>
        <v>7.0017185285388223E-2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18.140859821516756</v>
      </c>
      <c r="H93" s="87" t="s">
        <v>204</v>
      </c>
      <c r="I93" s="144">
        <f>FV(H87,D93,0,-(H86/(C93-D94)))*Exchange_Rate</f>
        <v>18.140859821516756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7.3824730858572591</v>
      </c>
      <c r="H94" s="87" t="s">
        <v>205</v>
      </c>
      <c r="I94" s="144">
        <f>FV(H89,D93,0,-(H88/(C93-D94)))*Exchange_Rate</f>
        <v>7.3824730858572591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482417.9807979241</v>
      </c>
      <c r="D97" s="213"/>
      <c r="E97" s="123">
        <f>PV(C94,D93,0,-F93)</f>
        <v>9.0192134615656183</v>
      </c>
      <c r="F97" s="213"/>
      <c r="H97" s="123">
        <f>PV(C94,D93,0,-I93)</f>
        <v>9.0192134615656183</v>
      </c>
      <c r="I97" s="123">
        <f>PV(C93,D93,0,-I93)</f>
        <v>11.995239404432089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482417.9807979241</v>
      </c>
      <c r="D100" s="109">
        <f>MIN(F100*(1-C94),E100)</f>
        <v>7.6663314423307751</v>
      </c>
      <c r="E100" s="109">
        <f>MAX(E97+H98+E99,0)</f>
        <v>9.0192134615656183</v>
      </c>
      <c r="F100" s="109">
        <f>(E100+H100)/2</f>
        <v>9.0192134615656183</v>
      </c>
      <c r="H100" s="109">
        <f>MAX(C100*Data!$C$4/Common_Shares,0)</f>
        <v>9.0192134615656183</v>
      </c>
      <c r="I100" s="109">
        <f>MAX(I97+H98+H99,0)</f>
        <v>11.995239404432089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196321.3317568377</v>
      </c>
      <c r="D103" s="109">
        <f>MIN(F103*(1-C94),E103)</f>
        <v>3.1198347871659031</v>
      </c>
      <c r="E103" s="123">
        <f>PV(C94,D93,0,-F94)</f>
        <v>3.670393867254004</v>
      </c>
      <c r="F103" s="109">
        <f>(E103+H103)/2</f>
        <v>3.670393867254004</v>
      </c>
      <c r="H103" s="123">
        <f>PV(C94,D93,0,-I94)</f>
        <v>3.670393867254004</v>
      </c>
      <c r="I103" s="109">
        <f>PV(C93,D93,0,-I94)</f>
        <v>4.8814958570266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339369.65627738094</v>
      </c>
      <c r="D106" s="109">
        <f>(D100+D103)/2</f>
        <v>5.3930831147483396</v>
      </c>
      <c r="E106" s="123">
        <f>(E100+E103)/2</f>
        <v>6.3448036644098114</v>
      </c>
      <c r="F106" s="109">
        <f>(F100+F103)/2</f>
        <v>6.3448036644098114</v>
      </c>
      <c r="H106" s="123">
        <f>(H100+H103)/2</f>
        <v>6.3448036644098114</v>
      </c>
      <c r="I106" s="123">
        <f>(I100+I103)/2</f>
        <v>8.4383676307293456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