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728DB1-D061-4D4B-94F4-F0F58C8981A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F93" i="4"/>
  <c r="F92" i="4"/>
  <c r="F91" i="4"/>
  <c r="F97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B7" i="3"/>
  <c r="M53" i="2"/>
  <c r="F94" i="4" l="1"/>
  <c r="E92" i="4"/>
  <c r="E93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J27" i="2"/>
  <c r="J55" i="2"/>
  <c r="I27" i="2"/>
  <c r="I55" i="2"/>
  <c r="K27" i="2"/>
  <c r="K55" i="2"/>
  <c r="I53" i="2"/>
  <c r="J50" i="2"/>
  <c r="G53" i="2"/>
  <c r="J53" i="2"/>
  <c r="K50" i="2"/>
  <c r="H53" i="2"/>
  <c r="I50" i="2"/>
  <c r="E53" i="2"/>
  <c r="F53" i="2"/>
  <c r="D53" i="2"/>
  <c r="E50" i="2"/>
  <c r="K53" i="2"/>
  <c r="L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0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G50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G22" i="2"/>
  <c r="G61" i="2" s="1"/>
  <c r="G60" i="2"/>
  <c r="J15" i="2"/>
  <c r="K60" i="2"/>
  <c r="E22" i="2"/>
  <c r="E61" i="2" s="1"/>
  <c r="E60" i="2"/>
  <c r="D22" i="2"/>
  <c r="D61" i="2" s="1"/>
  <c r="D60" i="2"/>
  <c r="L15" i="2"/>
  <c r="M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D40" i="2"/>
  <c r="D13" i="2"/>
  <c r="G40" i="2"/>
  <c r="K56" i="2"/>
  <c r="L24" i="2"/>
  <c r="L23" i="2" s="1"/>
  <c r="M57" i="2"/>
  <c r="M56" i="2"/>
  <c r="G59" i="2" l="1"/>
  <c r="D59" i="2"/>
  <c r="K59" i="2"/>
  <c r="E57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<sst xmlns="http://schemas.openxmlformats.org/spreadsheetml/2006/main" count="393" uniqueCount="274">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</sst>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</c:v>
                </c:pt>
                <c:pt idx="1">
                  <c:v>0.12732014981812276</c:v>
                </c:pt>
                <c:pt idx="2">
                  <c:v>5.8307109926881803E-2</c:v>
                </c:pt>
                <c:pt idx="3">
                  <c:v>0</c:v>
                </c:pt>
                <c:pt idx="4">
                  <c:v>3.008431596699165E-2</c:v>
                </c:pt>
                <c:pt idx="5">
                  <c:v>0</c:v>
                </c:pt>
                <c:pt idx="6">
                  <c:v>9.4288424288003866E-2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10039860402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0.17488440484124754</v>
      </c>
      <c r="D45" s="152">
        <f>IF(D44="","",D44*Exchange_Rate/Dashboard!$G$3)</f>
        <v>0.50469996028011033</v>
      </c>
      <c r="E45" s="152">
        <f>IF(E44="","",E44*Exchange_Rate/Dashboard!$G$3)</f>
        <v>0.23474416757214434</v>
      </c>
      <c r="F45" s="152">
        <f>IF(F44="","",F44*Exchange_Rate/Dashboard!$G$3)</f>
        <v>0.11737208378607217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215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102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242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251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202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1171.HK</v>
      </c>
      <c r="D3" s="282"/>
      <c r="E3" s="87"/>
      <c r="F3" s="3" t="s">
        <v>1</v>
      </c>
      <c r="G3" s="132">
        <v>9.11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兗礦能源</v>
      </c>
      <c r="D4" s="284"/>
      <c r="E4" s="87"/>
      <c r="F4" s="3" t="s">
        <v>2</v>
      </c>
      <c r="G4" s="287">
        <f>Inputs!C10</f>
        <v>10039860402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45638</v>
      </c>
      <c r="D5" s="286"/>
      <c r="E5" s="34"/>
      <c r="F5" s="35" t="s">
        <v>96</v>
      </c>
      <c r="G5" s="279">
        <f>G3*G4/1000000</f>
        <v>91463.128262219994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0.69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0.12732014981812276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5.8307109926881803E-2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165</v>
      </c>
      <c r="C24" s="171">
        <f>Fin_Analysis!I81</f>
        <v>3.008431596699165E-2</v>
      </c>
      <c r="F24" s="140" t="s">
        <v>254</v>
      </c>
      <c r="G24" s="268">
        <f>G3/(Fin_Analysis!H86*G7)</f>
        <v>12.766617401612759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0.74922224366340984</v>
      </c>
    </row>
    <row r="26" spans="1:8" ht="15.75" customHeight="1" x14ac:dyDescent="0.4">
      <c r="B26" s="138" t="s">
        <v>168</v>
      </c>
      <c r="C26" s="171">
        <f>Fin_Analysis!I83</f>
        <v>9.4288424288003866E-2</v>
      </c>
      <c r="F26" s="141" t="s">
        <v>188</v>
      </c>
      <c r="G26" s="178">
        <f>Fin_Analysis!H88*Exchange_Rate/G3</f>
        <v>5.8686041893036084E-2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4.0144465608179267</v>
      </c>
      <c r="D29" s="129">
        <f>G29*(1+G20)</f>
        <v>11.941600588088422</v>
      </c>
      <c r="E29" s="87"/>
      <c r="F29" s="131">
        <f>IF(Fin_Analysis!C108="Profit",Fin_Analysis!F100,IF(Fin_Analysis!C108="Dividend",Fin_Analysis!F103,Fin_Analysis!F106))</f>
        <v>5.9110852226120256</v>
      </c>
      <c r="G29" s="278">
        <f>IF(Fin_Analysis!C108="Profit",Fin_Analysis!I100,IF(Fin_Analysis!C108="Dividend",Fin_Analysis!I103,Fin_Analysis!I106))</f>
        <v>10.384000511381236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0.19398624320084429</v>
      </c>
      <c r="D57" s="153">
        <f t="shared" si="47"/>
        <v>0.16389072249905537</v>
      </c>
      <c r="E57" s="153">
        <f t="shared" si="47"/>
        <v>0.31296318737139767</v>
      </c>
      <c r="F57" s="153">
        <f t="shared" si="47"/>
        <v>1.0268662308051022</v>
      </c>
      <c r="G57" s="153">
        <f t="shared" si="47"/>
        <v>0.44019711131949024</v>
      </c>
      <c r="H57" s="153">
        <f t="shared" si="47"/>
        <v>0.56611293494355286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92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167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227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155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0.16104416742091829</v>
      </c>
      <c r="D87" s="209"/>
      <c r="E87" s="262">
        <f>E86*Exchange_Rate/Dashboard!G3</f>
        <v>4.6731165527409954E-2</v>
      </c>
      <c r="F87" s="209"/>
      <c r="H87" s="262">
        <f>H86*Exchange_Rate/Dashboard!G3</f>
        <v>7.8329283986663042E-2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216</v>
      </c>
      <c r="C89" s="261">
        <f>C88*Exchange_Rate/Dashboard!G3</f>
        <v>0.17488440484124754</v>
      </c>
      <c r="D89" s="209"/>
      <c r="E89" s="261">
        <f>E88*Exchange_Rate/Dashboard!G3</f>
        <v>3.5211625135821649E-2</v>
      </c>
      <c r="F89" s="209"/>
      <c r="H89" s="261">
        <f>H88*Exchange_Rate/Dashboard!G3</f>
        <v>5.8686041893036084E-2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8.074485943935791</v>
      </c>
      <c r="H93" s="87" t="s">
        <v>204</v>
      </c>
      <c r="I93" s="144">
        <f>FV(H87,D93,0,-(H86/(C93-D94)))*Exchange_Rate</f>
        <v>15.704121552915673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5.7565763065299391</v>
      </c>
      <c r="H94" s="87" t="s">
        <v>205</v>
      </c>
      <c r="I94" s="144">
        <f>FV(H89,D93,0,-(H88/(C93-D94)))*Exchange_Rate</f>
        <v>10.732558139220441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78388457.856798679</v>
      </c>
      <c r="D97" s="213"/>
      <c r="E97" s="123">
        <f>PV(C94,D93,0,-F93)</f>
        <v>4.0144465608179267</v>
      </c>
      <c r="F97" s="213"/>
      <c r="H97" s="123">
        <f>PV(C94,D93,0,-I93)</f>
        <v>7.8077238844061245</v>
      </c>
      <c r="I97" s="123">
        <f>PV(C93,D93,0,-I93)</f>
        <v>10.384000511381236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78388457.856798679</v>
      </c>
      <c r="D100" s="109">
        <f>MIN(F100*(1-C94),E100)</f>
        <v>4.0144465608179267</v>
      </c>
      <c r="E100" s="109">
        <f>MAX(E97+H98+E99,0)</f>
        <v>4.0144465608179267</v>
      </c>
      <c r="F100" s="109">
        <f>(E100+H100)/2</f>
        <v>5.9110852226120256</v>
      </c>
      <c r="H100" s="109">
        <f>MAX(C100*Data!$C$4/Common_Shares,0)</f>
        <v>7.8077238844061245</v>
      </c>
      <c r="I100" s="109">
        <f>MAX(I97+H98+H99,0)</f>
        <v>10.384000511381236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53572476.4073622</v>
      </c>
      <c r="D103" s="109">
        <f>MIN(F103*(1-C94),E103)</f>
        <v>2.8620358145760427</v>
      </c>
      <c r="E103" s="123">
        <f>PV(C94,D93,0,-F94)</f>
        <v>2.8620358145760427</v>
      </c>
      <c r="F103" s="109">
        <f>(E103+H103)/2</f>
        <v>4.0990070158163752</v>
      </c>
      <c r="H103" s="123">
        <f>PV(C94,D93,0,-I94)</f>
        <v>5.3359782170567076</v>
      </c>
      <c r="I103" s="109">
        <f>PV(C93,D93,0,-I94)</f>
        <v>7.0966649634345425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34519461.552884407</v>
      </c>
      <c r="D106" s="109">
        <f>(D100+D103)/2</f>
        <v>3.4382411876969847</v>
      </c>
      <c r="E106" s="123">
        <f>(E100+E103)/2</f>
        <v>3.4382411876969847</v>
      </c>
      <c r="F106" s="109">
        <f>(F100+F103)/2</f>
        <v>5.0050461192142004</v>
      </c>
      <c r="H106" s="123">
        <f>(H100+H103)/2</f>
        <v>6.5718510507314161</v>
      </c>
      <c r="I106" s="123">
        <f>(I100+I103)/2</f>
        <v>8.7403327374078899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