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2634B3-E3F2-47C6-AEB6-7ABF3BA7B27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5" i="4" l="1"/>
  <c r="F96" i="4"/>
  <c r="F97" i="4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I53" i="2"/>
  <c r="J50" i="2"/>
  <c r="G53" i="2"/>
  <c r="H50" i="2"/>
  <c r="E53" i="2"/>
  <c r="F50" i="2"/>
  <c r="F53" i="2"/>
  <c r="G50" i="2"/>
  <c r="J53" i="2"/>
  <c r="K50" i="2"/>
  <c r="D53" i="2"/>
  <c r="E50" i="2"/>
  <c r="C53" i="2"/>
  <c r="H53" i="2"/>
  <c r="I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22" i="2" l="1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E13" i="2"/>
  <c r="E59" i="2" s="1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K59" i="2" l="1"/>
  <c r="D56" i="2"/>
  <c r="M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1" i="2"/>
  <c r="E99" i="3"/>
  <c r="G23" i="1"/>
  <c r="E53" i="3" s="1"/>
  <c r="C27" i="2"/>
  <c r="C37" i="2"/>
  <c r="C55" i="2" s="1"/>
  <c r="C60" i="2" l="1"/>
  <c r="C59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<sst xmlns="http://schemas.openxmlformats.org/spreadsheetml/2006/main" count="393" uniqueCount="275">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</sst>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356406257089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248</v>
      </c>
      <c r="C15" s="176" t="s">
        <v>252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271</v>
      </c>
      <c r="D18" s="24"/>
    </row>
    <row r="19" spans="2:13" ht="13.9" x14ac:dyDescent="0.4">
      <c r="B19" s="240" t="s">
        <v>234</v>
      </c>
      <c r="C19" s="242" t="s">
        <v>271</v>
      </c>
      <c r="D19" s="24"/>
    </row>
    <row r="20" spans="2:13" ht="13.9" x14ac:dyDescent="0.4">
      <c r="B20" s="241" t="s">
        <v>223</v>
      </c>
      <c r="C20" s="242" t="s">
        <v>271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249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245</v>
      </c>
      <c r="C45" s="152">
        <f>IF(C44="","",C44*Exchange_Rate/Dashboard!$G$3)</f>
        <v>9.8961523774556498E-2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243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3628128</v>
      </c>
      <c r="D48" s="60">
        <v>0.9</v>
      </c>
      <c r="E48" s="112"/>
    </row>
    <row r="49" spans="2:5" ht="13.9" x14ac:dyDescent="0.4">
      <c r="B49" s="1" t="s">
        <v>131</v>
      </c>
      <c r="C49" s="59">
        <v>2171209</v>
      </c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>
        <v>3557823</v>
      </c>
      <c r="D51" s="60">
        <v>0.6</v>
      </c>
      <c r="E51" s="112"/>
    </row>
    <row r="52" spans="2:5" ht="13.9" x14ac:dyDescent="0.4">
      <c r="B52" s="3" t="s">
        <v>40</v>
      </c>
      <c r="C52" s="59">
        <v>9431099</v>
      </c>
      <c r="D52" s="60">
        <v>0.5</v>
      </c>
      <c r="E52" s="112"/>
    </row>
    <row r="53" spans="2:5" ht="13.9" x14ac:dyDescent="0.4">
      <c r="B53" s="1" t="s">
        <v>153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65568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638618</v>
      </c>
      <c r="D72" s="248">
        <v>0</v>
      </c>
      <c r="E72" s="249"/>
    </row>
    <row r="73" spans="2:5" ht="13.9" x14ac:dyDescent="0.4">
      <c r="B73" s="3" t="s">
        <v>35</v>
      </c>
      <c r="C73" s="59">
        <v>40496667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>
        <v>3234661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244</v>
      </c>
      <c r="C86" s="197">
        <v>5</v>
      </c>
    </row>
    <row r="87" spans="2:8" ht="13.9" x14ac:dyDescent="0.4">
      <c r="B87" s="10" t="s">
        <v>242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102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241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249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240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202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1398.HK</v>
      </c>
      <c r="D3" s="282"/>
      <c r="E3" s="87"/>
      <c r="F3" s="3" t="s">
        <v>1</v>
      </c>
      <c r="G3" s="132">
        <v>4.8600000000000003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工商银行</v>
      </c>
      <c r="D4" s="284"/>
      <c r="E4" s="87"/>
      <c r="F4" s="3" t="s">
        <v>2</v>
      </c>
      <c r="G4" s="287">
        <f>Inputs!C10</f>
        <v>356406257089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45605</v>
      </c>
      <c r="D5" s="286"/>
      <c r="E5" s="34"/>
      <c r="F5" s="35" t="s">
        <v>96</v>
      </c>
      <c r="G5" s="279">
        <f>G3*G4/1000000</f>
        <v>1732134.4094525401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247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1.2012210534502537E-2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0.15470436118294414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9.7044800044936142E-4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0.4191842661043883</v>
      </c>
    </row>
    <row r="24" spans="1:8" ht="15.75" customHeight="1" x14ac:dyDescent="0.4">
      <c r="B24" s="137" t="s">
        <v>165</v>
      </c>
      <c r="C24" s="171">
        <f>Fin_Analysis!I81</f>
        <v>0.48610500800425166</v>
      </c>
      <c r="F24" s="140" t="s">
        <v>251</v>
      </c>
      <c r="G24" s="268">
        <f>G3/(Fin_Analysis!H86*G7)</f>
        <v>4.0434664705044652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0.27257720239339839</v>
      </c>
    </row>
    <row r="26" spans="1:8" ht="15.75" customHeight="1" x14ac:dyDescent="0.4">
      <c r="B26" s="138" t="s">
        <v>168</v>
      </c>
      <c r="C26" s="171">
        <f>Fin_Analysis!I83</f>
        <v>0.34620797227785238</v>
      </c>
      <c r="F26" s="141" t="s">
        <v>188</v>
      </c>
      <c r="G26" s="178">
        <f>Fin_Analysis!H88*Exchange_Rate/G3</f>
        <v>6.7411762749053167E-2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250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2.8958476907079826</v>
      </c>
      <c r="D29" s="129">
        <f>G29*(1+G20)</f>
        <v>5.2106857861067422</v>
      </c>
      <c r="E29" s="87"/>
      <c r="F29" s="131">
        <f>IF(Fin_Analysis!C108="Profit",Fin_Analysis!F100,IF(Fin_Analysis!C108="Dividend",Fin_Analysis!F103,Fin_Analysis!F106))</f>
        <v>3.4068796361270386</v>
      </c>
      <c r="G29" s="278">
        <f>IF(Fin_Analysis!C108="Profit",Fin_Analysis!I100,IF(Fin_Analysis!C108="Dividend",Fin_Analysis!I103,Fin_Analysis!I106))</f>
        <v>4.5310311183536891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249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3864501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629840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16682618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4.2196363500311286E-2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1.2012210534502537E-2</v>
      </c>
      <c r="D42" s="156">
        <f t="shared" si="34"/>
        <v>1.2898518308810534E-2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0.15470436118294414</v>
      </c>
      <c r="D43" s="153">
        <f t="shared" si="35"/>
        <v>0.18718688266125691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0.48610500800425166</v>
      </c>
      <c r="D45" s="153">
        <f t="shared" si="37"/>
        <v>0.45882609640924893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9.7044800044936142E-4</v>
      </c>
      <c r="D46" s="153">
        <f t="shared" ref="D46:M46" si="38">IF(D6="","",MAX(D12,0)/D6)</f>
        <v>1.0198064557502538E-3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0.34620797227785238</v>
      </c>
      <c r="D48" s="153">
        <f t="shared" si="40"/>
        <v>0.34006869616493335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>
        <f>IF(C6="","",C6/C39)</f>
        <v>5.0697711678134902E-2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>
        <f>IF(C36="","",(C36-C37)/C27)</f>
        <v>6.8652351692407951E-2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1.2634035849314423E-2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1.4040838077932061</v>
      </c>
      <c r="D57" s="153">
        <f t="shared" si="47"/>
        <v>1.3492159130892725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1.0639184029144524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>
        <f>IF(C14="","",C14/(C36-C37))</f>
        <v>0.39701244324108981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>
        <f>IF(C22="","",C22/(C36-C37))</f>
        <v>0.16514084989637762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3234661</v>
      </c>
      <c r="K3" s="24"/>
    </row>
    <row r="4" spans="1:11" ht="15" customHeight="1" x14ac:dyDescent="0.4">
      <c r="B4" s="3" t="s">
        <v>23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1.0639184029144524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-15567844.5</v>
      </c>
      <c r="E6" s="56">
        <f>1-D6/D3</f>
        <v>5.0284229451616129</v>
      </c>
      <c r="F6" s="87"/>
      <c r="G6" s="87"/>
      <c r="H6" s="1" t="s">
        <v>26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35</v>
      </c>
      <c r="I11" s="40">
        <f>Inputs!C73</f>
        <v>40496667</v>
      </c>
      <c r="J11" s="87"/>
      <c r="K11" s="24"/>
    </row>
    <row r="12" spans="1:11" ht="13.9" x14ac:dyDescent="0.4">
      <c r="B12" s="1" t="s">
        <v>131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39</v>
      </c>
      <c r="I14" s="205">
        <f>Inputs!C76</f>
        <v>1783937</v>
      </c>
      <c r="J14" s="87"/>
      <c r="K14" s="27"/>
    </row>
    <row r="15" spans="1:11" ht="13.9" x14ac:dyDescent="0.4">
      <c r="B15" s="3" t="s">
        <v>40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50</v>
      </c>
      <c r="I15" s="84">
        <f>SUM(I11:I14)</f>
        <v>42280604</v>
      </c>
      <c r="J15" s="87"/>
    </row>
    <row r="16" spans="1:11" ht="13.9" x14ac:dyDescent="0.4">
      <c r="B16" s="1" t="s">
        <v>153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51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52</v>
      </c>
      <c r="I25" s="63">
        <f>E28/I28</f>
        <v>0.65175088062330477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77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79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82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42280604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102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92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241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167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227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249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240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155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0.24731254909484621</v>
      </c>
      <c r="D87" s="209"/>
      <c r="E87" s="262">
        <f>E86*Exchange_Rate/Dashboard!G3</f>
        <v>0.24731254909484621</v>
      </c>
      <c r="F87" s="209"/>
      <c r="H87" s="262">
        <f>H86*Exchange_Rate/Dashboard!G3</f>
        <v>0.24731254909484621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216</v>
      </c>
      <c r="C89" s="261">
        <f>C88*Exchange_Rate/Dashboard!G3</f>
        <v>9.8961523774556498E-2</v>
      </c>
      <c r="D89" s="209"/>
      <c r="E89" s="261">
        <f>E88*Exchange_Rate/Dashboard!G3</f>
        <v>6.7411762749053167E-2</v>
      </c>
      <c r="F89" s="209"/>
      <c r="H89" s="261">
        <f>H88*Exchange_Rate/Dashboard!G3</f>
        <v>6.7411762749053167E-2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54.773816092602011</v>
      </c>
      <c r="H93" s="87" t="s">
        <v>204</v>
      </c>
      <c r="I93" s="144">
        <f>FV(H87,D93,0,-(H86/(C93-D94)))*Exchange_Rate</f>
        <v>54.773816092602011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6.8524518430715018</v>
      </c>
      <c r="H94" s="87" t="s">
        <v>205</v>
      </c>
      <c r="I94" s="144">
        <f>FV(H89,D93,0,-(H88/(C93-D94)))*Exchange_Rate</f>
        <v>6.8524518430715018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9705750.3765951674</v>
      </c>
      <c r="D97" s="213"/>
      <c r="E97" s="123">
        <f>PV(C94,D93,0,-F93)</f>
        <v>27.2322670647488</v>
      </c>
      <c r="F97" s="213"/>
      <c r="H97" s="123">
        <f>PV(C94,D93,0,-I93)</f>
        <v>27.2322670647488</v>
      </c>
      <c r="I97" s="123">
        <f>PV(C93,D93,0,-I93)</f>
        <v>36.217965608543153</v>
      </c>
      <c r="K97" s="24"/>
    </row>
    <row r="98" spans="2:11" ht="15" customHeight="1" x14ac:dyDescent="0.4">
      <c r="B98" s="28" t="s">
        <v>140</v>
      </c>
      <c r="C98" s="91">
        <f>-E53*Exchange_Rate</f>
        <v>-673462.51892407739</v>
      </c>
      <c r="D98" s="213"/>
      <c r="E98" s="213"/>
      <c r="F98" s="213"/>
      <c r="H98" s="123">
        <f>C98*Data!$C$4/Common_Shares</f>
        <v>-1.8895922995984431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-34385775.442482978</v>
      </c>
      <c r="D99" s="214"/>
      <c r="E99" s="145">
        <f>IF(H99&gt;0,H99*(1-C94),H99*(1+C94))</f>
        <v>-110.95103122440629</v>
      </c>
      <c r="F99" s="214"/>
      <c r="H99" s="145">
        <f>C99*Data!$C$4/Common_Shares</f>
        <v>-96.479157586440266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-25353487.584811889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1214233.2194647719</v>
      </c>
      <c r="D103" s="109">
        <f>MIN(F103*(1-C94),E103)</f>
        <v>2.8958476907079826</v>
      </c>
      <c r="E103" s="123">
        <f>PV(C94,D93,0,-F94)</f>
        <v>3.4068796361270386</v>
      </c>
      <c r="F103" s="109">
        <f>(E103+H103)/2</f>
        <v>3.4068796361270386</v>
      </c>
      <c r="H103" s="123">
        <f>PV(C94,D93,0,-I94)</f>
        <v>3.4068796361270386</v>
      </c>
      <c r="I103" s="109">
        <f>PV(C93,D93,0,-I94)</f>
        <v>4.5310311183536891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607116.60973238596</v>
      </c>
      <c r="D106" s="109">
        <f>(D100+D103)/2</f>
        <v>1.4479238453539913</v>
      </c>
      <c r="E106" s="123">
        <f>(E100+E103)/2</f>
        <v>1.7034398180635193</v>
      </c>
      <c r="F106" s="109">
        <f>(F100+F103)/2</f>
        <v>1.7034398180635193</v>
      </c>
      <c r="H106" s="123">
        <f>(H100+H103)/2</f>
        <v>1.7034398180635193</v>
      </c>
      <c r="I106" s="123">
        <f>(I100+I103)/2</f>
        <v>2.2655155591768446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