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002BEED-E150-41C7-93CF-BDD31C13055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B7" i="3"/>
  <c r="M53" i="2"/>
  <c r="F96" i="4" l="1"/>
  <c r="E92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I27" i="2"/>
  <c r="I55" i="2"/>
  <c r="M27" i="2"/>
  <c r="M55" i="2"/>
  <c r="J27" i="2"/>
  <c r="J55" i="2"/>
  <c r="K53" i="2"/>
  <c r="L50" i="2"/>
  <c r="J53" i="2"/>
  <c r="K50" i="2"/>
  <c r="G53" i="2"/>
  <c r="H50" i="2"/>
  <c r="H53" i="2"/>
  <c r="I50" i="2"/>
  <c r="I53" i="2"/>
  <c r="J50" i="2"/>
  <c r="E53" i="2"/>
  <c r="F50" i="2"/>
  <c r="F53" i="2"/>
  <c r="G50" i="2"/>
  <c r="D53" i="2"/>
  <c r="E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E22" i="2" l="1"/>
  <c r="E61" i="2" s="1"/>
  <c r="E60" i="2"/>
  <c r="D22" i="2"/>
  <c r="D61" i="2" s="1"/>
  <c r="D60" i="2"/>
  <c r="L15" i="2"/>
  <c r="M60" i="2"/>
  <c r="G22" i="2"/>
  <c r="G61" i="2" s="1"/>
  <c r="G60" i="2"/>
  <c r="J15" i="2"/>
  <c r="K60" i="2"/>
  <c r="F22" i="2"/>
  <c r="F61" i="2" s="1"/>
  <c r="F60" i="2"/>
  <c r="K15" i="2"/>
  <c r="L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56" i="2"/>
  <c r="D15" i="2"/>
  <c r="E15" i="2"/>
  <c r="K13" i="2"/>
  <c r="E13" i="2"/>
  <c r="E59" i="2" s="1"/>
  <c r="L13" i="2"/>
  <c r="E40" i="2"/>
  <c r="G13" i="2"/>
  <c r="E57" i="2"/>
  <c r="D40" i="2"/>
  <c r="D13" i="2"/>
  <c r="G40" i="2"/>
  <c r="K56" i="2"/>
  <c r="L24" i="2"/>
  <c r="L23" i="2" s="1"/>
  <c r="M57" i="2"/>
  <c r="M56" i="2"/>
  <c r="G59" i="2" l="1"/>
  <c r="K59" i="2"/>
  <c r="G57" i="2"/>
  <c r="L59" i="2"/>
  <c r="D59" i="2"/>
  <c r="M59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E99" i="3"/>
  <c r="G23" i="1"/>
  <c r="E53" i="3" s="1"/>
  <c r="C27" i="2"/>
  <c r="C37" i="2"/>
  <c r="C61" i="2" s="1"/>
  <c r="C60" i="2" l="1"/>
  <c r="C55" i="2"/>
  <c r="C59" i="2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<sst xmlns="http://schemas.openxmlformats.org/spreadsheetml/2006/main" count="393" uniqueCount="274">
  <si>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</si>
  <si>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</si>
  <si>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</si>
  <si>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</si>
  <si>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</si>
  <si>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</si>
  <si>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</si>
  <si>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</si>
  <si>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</si>
  <si>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</si>
  <si>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</si>
  <si>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</si>
  <si>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</si>
  <si>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</si>
  <si>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</si>
  <si>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</si>
  <si>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</si>
  <si>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</si>
  <si>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</si>
  <si>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</si>
  <si>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</si>
  <si>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</si>
  <si>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</si>
  <si>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</si>
  <si>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</si>
  <si>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</si>
  <si>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</si>
  <si>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</si>
  <si>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</si>
  <si>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</si>
  <si>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</si>
  <si>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</si>
  <si>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</si>
  <si>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</si>
  <si>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</si>
  <si>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</si>
  <si>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</si>
  <si>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</si>
  <si>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</si>
  <si>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</si>
  <si>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</si>
  <si>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</si>
  <si>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</si>
  <si>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</si>
  <si>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</si>
  <si>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</si>
  <si>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</si>
  <si>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</si>
  <si>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</si>
  <si>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</si>
  <si>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</si>
  <si>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</si>
  <si>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</si>
  <si>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</si>
  <si>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</si>
  <si>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</si>
  <si>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</si>
  <si>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</si>
  <si>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</si>
  <si>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</si>
  <si>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</si>
  <si>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</si>
  <si>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</si>
  <si>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</si>
  <si>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</si>
  <si>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</si>
  <si>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</si>
  <si>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</si>
  <si>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</si>
  <si>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</si>
  <si>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</si>
  <si>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</si>
  <si>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</si>
  <si>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</si>
  <si>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</si>
  <si>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</si>
  <si>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</si>
  <si>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</si>
  <si>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</si>
  <si>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</si>
  <si>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</si>
  <si>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</si>
  <si>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</si>
  <si>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</si>
  <si>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</si>
  <si>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</si>
  <si>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</si>
  <si>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</si>
  <si>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</si>
  <si>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</si>
  <si>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</si>
  <si>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</si>
  <si>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</si>
  <si>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</si>
  <si>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</si>
  <si>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</si>
  <si>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</si>
  <si>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</si>
  <si>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</si>
  <si>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</si>
  <si>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</si>
  <si>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</si>
  <si>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</si>
  <si>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</si>
  <si>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</si>
  <si>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</si>
  <si>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</si>
  <si>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</si>
  <si>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</si>
  <si>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</si>
  <si>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</si>
  <si>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</si>
  <si>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</si>
  <si>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</si>
  <si>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</si>
  <si>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</si>
  <si>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</si>
  <si>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</si>
  <si>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</si>
  <si>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</si>
  <si>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</si>
  <si>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</si>
  <si>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</si>
  <si>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</si>
  <si>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</si>
  <si>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</si>
  <si>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</si>
  <si>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</si>
  <si>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</si>
  <si>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</si>
  <si>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</si>
  <si>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</si>
  <si>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</si>
  <si>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</si>
  <si>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</si>
  <si>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</si>
  <si>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</si>
  <si>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</si>
  <si>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</si>
  <si>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</si>
  <si>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</si>
  <si>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</si>
  <si>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</si>
  <si>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</si>
  <si>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</si>
  <si>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</si>
  <si>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</si>
  <si>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</si>
  <si>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</si>
  <si>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</si>
  <si>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</si>
  <si>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</si>
  <si>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</si>
  <si>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</si>
  <si>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</si>
  <si>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</si>
  <si>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</si>
  <si>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</si>
  <si>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</si>
  <si>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</si>
  <si>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</si>
  <si>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</si>
  <si>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</si>
  <si>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</si>
  <si>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</si>
  <si>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</si>
  <si>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</si>
  <si>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</si>
  <si>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</si>
  <si>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</si>
  <si>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</si>
  <si>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</si>
  <si>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</si>
  <si>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</si>
  <si>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</si>
  <si>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</si>
  <si>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</si>
  <si>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</si>
  <si>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</si>
  <si>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</si>
  <si>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</si>
  <si>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</si>
  <si>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</si>
  <si>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</si>
  <si>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</si>
  <si>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</si>
  <si>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</si>
  <si>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</si>
  <si>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</si>
  <si>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</si>
  <si>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</si>
  <si>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</si>
  <si>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</si>
  <si>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</si>
  <si>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</si>
  <si>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</si>
  <si>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</si>
  <si>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</si>
  <si>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</si>
  <si>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</si>
  <si>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</si>
  <si>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</si>
  <si>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</si>
  <si>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</si>
  <si>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</si>
  <si>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</si>
  <si>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</si>
  <si>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</si>
  <si>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</si>
  <si>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</si>
  <si>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</si>
  <si>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</si>
  <si>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</si>
  <si>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</si>
  <si>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</si>
  <si>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</si>
  <si>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</si>
  <si>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</si>
  <si>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</si>
  <si>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</si>
  <si>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</si>
  <si>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</si>
  <si>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</si>
  <si>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</si>
  <si>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</si>
  <si>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</si>
  <si>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</si>
  <si>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</si>
  <si>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</si>
  <si>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</si>
  <si>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</si>
  <si>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</si>
  <si>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</si>
  <si>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</si>
  <si>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</si>
  <si>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</si>
  <si>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</si>
  <si>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</si>
  <si>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</si>
  <si>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</si>
  <si>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</si>
  <si>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</si>
  <si>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</si>
  <si>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</si>
  <si>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</si>
  <si>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</si>
  <si>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</si>
  <si>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</si>
  <si>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</si>
  <si>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</si>
  <si>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</si>
  <si>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</si>
  <si>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</si>
  <si>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</si>
  <si>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</si>
  <si>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</si>
  <si>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</si>
  <si>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</si>
  <si>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</si>
  <si>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</si>
  <si>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</si>
  <si>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</si>
  <si>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</si>
  <si>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</si>
  <si>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</si>
  <si>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</si>
  <si>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</si>
  <si>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</si>
  <si>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1405.HK</t>
  </si>
  <si>
    <t>達勢股份</t>
  </si>
  <si>
    <t>C0002</t>
  </si>
  <si>
    <t>CNY</t>
  </si>
  <si>
    <t>Strongly 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</si>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</sst>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0.8448760372568398</c:v>
                </c:pt>
                <c:pt idx="1">
                  <c:v>0.18023840312844694</c:v>
                </c:pt>
                <c:pt idx="2">
                  <c:v>0</c:v>
                </c:pt>
                <c:pt idx="3">
                  <c:v>0</c:v>
                </c:pt>
                <c:pt idx="4">
                  <c:v>1.7912194354438221E-2</c:v>
                </c:pt>
                <c:pt idx="5">
                  <c:v>0</c:v>
                </c:pt>
                <c:pt idx="6">
                  <c:v>-4.3026634739724949E-2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268</v>
      </c>
    </row>
    <row r="5" spans="1:5" ht="13.9" x14ac:dyDescent="0.4">
      <c r="B5" s="141" t="s">
        <v>190</v>
      </c>
      <c r="C5" s="191" t="s">
        <v>269</v>
      </c>
    </row>
    <row r="6" spans="1:5" ht="13.9" x14ac:dyDescent="0.4">
      <c r="B6" s="141" t="s">
        <v>158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67</v>
      </c>
      <c r="E8" s="267"/>
    </row>
    <row r="9" spans="1:5" ht="13.9" x14ac:dyDescent="0.4">
      <c r="B9" s="140" t="s">
        <v>211</v>
      </c>
      <c r="C9" s="192" t="s">
        <v>270</v>
      </c>
    </row>
    <row r="10" spans="1:5" ht="13.9" x14ac:dyDescent="0.4">
      <c r="B10" s="140" t="s">
        <v>212</v>
      </c>
      <c r="C10" s="193">
        <v>130481963</v>
      </c>
    </row>
    <row r="11" spans="1:5" ht="13.9" x14ac:dyDescent="0.4">
      <c r="B11" s="140" t="s">
        <v>213</v>
      </c>
      <c r="C11" s="192" t="s">
        <v>271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250</v>
      </c>
      <c r="C15" s="176" t="s">
        <v>255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240</v>
      </c>
      <c r="D17" s="24"/>
    </row>
    <row r="18" spans="2:13" ht="13.9" x14ac:dyDescent="0.4">
      <c r="B18" s="240" t="s">
        <v>233</v>
      </c>
      <c r="C18" s="242" t="s">
        <v>272</v>
      </c>
      <c r="D18" s="24"/>
    </row>
    <row r="19" spans="2:13" ht="13.9" x14ac:dyDescent="0.4">
      <c r="B19" s="240" t="s">
        <v>234</v>
      </c>
      <c r="C19" s="242" t="s">
        <v>272</v>
      </c>
      <c r="D19" s="24"/>
    </row>
    <row r="20" spans="2:13" ht="13.9" x14ac:dyDescent="0.4">
      <c r="B20" s="241" t="s">
        <v>223</v>
      </c>
      <c r="C20" s="242" t="s">
        <v>240</v>
      </c>
      <c r="D20" s="24"/>
    </row>
    <row r="21" spans="2:13" ht="13.9" x14ac:dyDescent="0.4">
      <c r="B21" s="224" t="s">
        <v>226</v>
      </c>
      <c r="C21" s="242" t="s">
        <v>240</v>
      </c>
      <c r="D21" s="24"/>
    </row>
    <row r="22" spans="2:13" ht="78.75" x14ac:dyDescent="0.4">
      <c r="B22" s="226" t="s">
        <v>225</v>
      </c>
      <c r="C22" s="243" t="s">
        <v>253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3050715</v>
      </c>
      <c r="D25" s="149">
        <v>2020789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2577476</v>
      </c>
      <c r="D26" s="150">
        <v>1776546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549856</v>
      </c>
      <c r="D27" s="150">
        <v>395166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54645</v>
      </c>
      <c r="D29" s="150">
        <v>78321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v>0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0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257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256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246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3050715</v>
      </c>
      <c r="D91" s="209"/>
      <c r="E91" s="251">
        <f>C91</f>
        <v>3050715</v>
      </c>
      <c r="F91" s="251">
        <f>C91</f>
        <v>3050715</v>
      </c>
    </row>
    <row r="92" spans="2:8" ht="13.9" x14ac:dyDescent="0.4">
      <c r="B92" s="104" t="s">
        <v>102</v>
      </c>
      <c r="C92" s="77">
        <f>C26</f>
        <v>2577476</v>
      </c>
      <c r="D92" s="159">
        <f>C92/C91</f>
        <v>0.8448760372568398</v>
      </c>
      <c r="E92" s="252">
        <f>E91*D92</f>
        <v>2577476</v>
      </c>
      <c r="F92" s="252">
        <f>F91*D92</f>
        <v>2577476</v>
      </c>
    </row>
    <row r="93" spans="2:8" ht="13.9" x14ac:dyDescent="0.4">
      <c r="B93" s="104" t="s">
        <v>242</v>
      </c>
      <c r="C93" s="77">
        <f>C27+C28</f>
        <v>549856</v>
      </c>
      <c r="D93" s="159">
        <f>C93/C91</f>
        <v>0.18023840312844694</v>
      </c>
      <c r="E93" s="252">
        <f>E91*D93</f>
        <v>549856</v>
      </c>
      <c r="F93" s="252">
        <f>F91*D93</f>
        <v>549856</v>
      </c>
    </row>
    <row r="94" spans="2:8" ht="13.9" x14ac:dyDescent="0.4">
      <c r="B94" s="104" t="s">
        <v>251</v>
      </c>
      <c r="C94" s="77">
        <f>C29</f>
        <v>54645</v>
      </c>
      <c r="D94" s="159">
        <f>C94/C91</f>
        <v>1.7912194354438221E-2</v>
      </c>
      <c r="E94" s="253"/>
      <c r="F94" s="252">
        <f>F91*D94</f>
        <v>54645</v>
      </c>
    </row>
    <row r="95" spans="2:8" ht="13.9" x14ac:dyDescent="0.4">
      <c r="B95" s="28" t="s">
        <v>241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202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1405.HK : 達勢股份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1405.HK</v>
      </c>
      <c r="D3" s="282"/>
      <c r="E3" s="87"/>
      <c r="F3" s="3" t="s">
        <v>1</v>
      </c>
      <c r="G3" s="132">
        <v>81.650000000000006</v>
      </c>
      <c r="H3" s="134" t="s">
        <v>273</v>
      </c>
    </row>
    <row r="4" spans="1:10" ht="15.75" customHeight="1" x14ac:dyDescent="0.4">
      <c r="B4" s="35" t="s">
        <v>190</v>
      </c>
      <c r="C4" s="283" t="str">
        <f>Inputs!C5</f>
        <v>達勢股份</v>
      </c>
      <c r="D4" s="284"/>
      <c r="E4" s="87"/>
      <c r="F4" s="3" t="s">
        <v>2</v>
      </c>
      <c r="G4" s="287">
        <f>Inputs!C10</f>
        <v>130481963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45603</v>
      </c>
      <c r="D5" s="286"/>
      <c r="E5" s="34"/>
      <c r="F5" s="35" t="s">
        <v>96</v>
      </c>
      <c r="G5" s="279">
        <f>G3*G4/1000000</f>
        <v>10653.85227895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0.8448760372568398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0.18023840312844694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0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165</v>
      </c>
      <c r="C24" s="171">
        <f>Fin_Analysis!I81</f>
        <v>1.7912194354438221E-2</v>
      </c>
      <c r="F24" s="140" t="s">
        <v>254</v>
      </c>
      <c r="G24" s="268">
        <f>G3/(Fin_Analysis!H86*G7)</f>
        <v>-101.2099471904618</v>
      </c>
    </row>
    <row r="25" spans="1:8" ht="15.75" customHeight="1" x14ac:dyDescent="0.4">
      <c r="B25" s="137" t="s">
        <v>238</v>
      </c>
      <c r="C25" s="171">
        <f>Fin_Analysis!I82</f>
        <v>0</v>
      </c>
      <c r="F25" s="140" t="s">
        <v>169</v>
      </c>
      <c r="G25" s="171">
        <f>Fin_Analysis!I88</f>
        <v>0</v>
      </c>
    </row>
    <row r="26" spans="1:8" ht="15.75" customHeight="1" x14ac:dyDescent="0.4">
      <c r="B26" s="138" t="s">
        <v>168</v>
      </c>
      <c r="C26" s="171">
        <f>Fin_Analysis!I83</f>
        <v>-4.3026634739724949E-2</v>
      </c>
      <c r="F26" s="141" t="s">
        <v>188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252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8">
        <f>IF(Fin_Analysis!C108="Profit",Fin_Analysis!I100,IF(Fin_Analysis!C108="Dividend",Fin_Analysis!I103,Fin_Analysis!I106))</f>
        <v>0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unclear</v>
      </c>
    </row>
    <row r="34" spans="1:3" ht="15.75" customHeight="1" x14ac:dyDescent="0.4">
      <c r="A34"/>
      <c r="B34" s="19" t="s">
        <v>220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Strongly disagree</v>
      </c>
    </row>
    <row r="37" spans="1:3" ht="15.75" customHeight="1" x14ac:dyDescent="0.4">
      <c r="A37"/>
      <c r="B37" s="20" t="s">
        <v>234</v>
      </c>
      <c r="C37" s="245" t="str">
        <f>Inputs!C19</f>
        <v>Strongly disagree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unclear</v>
      </c>
    </row>
    <row r="40" spans="1:3" ht="15.75" customHeight="1" x14ac:dyDescent="0.4">
      <c r="A40"/>
      <c r="B40" s="1" t="s">
        <v>226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-76617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3050715</v>
      </c>
      <c r="D6" s="200">
        <f>IF(Inputs!D25="","",Inputs!D25)</f>
        <v>2020789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0.50966528420334822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2577476</v>
      </c>
      <c r="D8" s="199">
        <f>IF(Inputs!D26="","",Inputs!D26)</f>
        <v>1776546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473239</v>
      </c>
      <c r="D9" s="151">
        <f t="shared" si="2"/>
        <v>244243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549856</v>
      </c>
      <c r="D10" s="199">
        <f>IF(Inputs!D27="","",Inputs!D27)</f>
        <v>395166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-2.5114440385286728E-2</v>
      </c>
      <c r="D13" s="229">
        <f t="shared" si="3"/>
        <v>-7.4685184846117039E-2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-76617</v>
      </c>
      <c r="D14" s="230">
        <f t="shared" ref="D14:M14" si="4">IF(D6="","",D9-D10-MAX(D11,0)-MAX(D12,0))</f>
        <v>-150923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0.49234377795299589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54645</v>
      </c>
      <c r="D17" s="199">
        <f>IF(Inputs!D29="","",Inputs!D29)</f>
        <v>78321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-131262</v>
      </c>
      <c r="D22" s="161">
        <f t="shared" ref="D22:M22" si="8">IF(D6="","",D14-MAX(D16,0)-MAX(D17,0)-ABS(MAX(D21,0)-MAX(D19,0)))</f>
        <v>-229244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-3.226997605479371E-2</v>
      </c>
      <c r="D23" s="153">
        <f t="shared" si="9"/>
        <v>-8.5082113966376494E-2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-98446.5</v>
      </c>
      <c r="D24" s="77">
        <f>IF(D6="","",D22*(1-Fin_Analysis!$I$84))</f>
        <v>-171933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0.42741358552459391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260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0.8448760372568398</v>
      </c>
      <c r="D42" s="156">
        <f t="shared" si="34"/>
        <v>0.87913483297860395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0.18023840312844694</v>
      </c>
      <c r="D43" s="153">
        <f t="shared" si="35"/>
        <v>0.19555035186751313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1.7912194354438221E-2</v>
      </c>
      <c r="D45" s="153">
        <f t="shared" si="37"/>
        <v>3.8757633775718295E-2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-4.3026634739724949E-2</v>
      </c>
      <c r="D48" s="153">
        <f t="shared" si="40"/>
        <v>-0.11344281862183533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263</v>
      </c>
      <c r="C50" s="272" t="e">
        <f>IF(C6="","",C6/C39)</f>
        <v>#DIV/0!</v>
      </c>
      <c r="D50" s="272" t="e">
        <f t="shared" ref="D50:M50" si="41">IF(D6="","",D6/D39)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258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264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-0.41630479499017231</v>
      </c>
      <c r="D57" s="153">
        <f t="shared" si="47"/>
        <v>-0.34164907260386312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265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266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267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3050715</v>
      </c>
      <c r="D74" s="209"/>
      <c r="E74" s="238">
        <f>Inputs!E91</f>
        <v>3050715</v>
      </c>
      <c r="F74" s="209"/>
      <c r="H74" s="238">
        <f>Inputs!F91</f>
        <v>3050715</v>
      </c>
      <c r="I74" s="209"/>
      <c r="K74" s="24"/>
    </row>
    <row r="75" spans="1:11" ht="15" customHeight="1" x14ac:dyDescent="0.4">
      <c r="B75" s="104" t="s">
        <v>102</v>
      </c>
      <c r="C75" s="77">
        <f>Data!C8</f>
        <v>2577476</v>
      </c>
      <c r="D75" s="159">
        <f>C75/$C$74</f>
        <v>0.8448760372568398</v>
      </c>
      <c r="E75" s="238">
        <f>Inputs!E92</f>
        <v>2577476</v>
      </c>
      <c r="F75" s="160">
        <f>E75/E74</f>
        <v>0.8448760372568398</v>
      </c>
      <c r="H75" s="238">
        <f>Inputs!F92</f>
        <v>2577476</v>
      </c>
      <c r="I75" s="160">
        <f>H75/$H$74</f>
        <v>0.8448760372568398</v>
      </c>
      <c r="K75" s="24"/>
    </row>
    <row r="76" spans="1:11" ht="15" customHeight="1" x14ac:dyDescent="0.4">
      <c r="B76" s="35" t="s">
        <v>92</v>
      </c>
      <c r="C76" s="161">
        <f>C74-C75</f>
        <v>473239</v>
      </c>
      <c r="D76" s="210"/>
      <c r="E76" s="162">
        <f>E74-E75</f>
        <v>473239</v>
      </c>
      <c r="F76" s="210"/>
      <c r="H76" s="162">
        <f>H74-H75</f>
        <v>473239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549856</v>
      </c>
      <c r="D77" s="159">
        <f>C77/$C$74</f>
        <v>0.18023840312844694</v>
      </c>
      <c r="E77" s="238">
        <f>Inputs!E93</f>
        <v>549856</v>
      </c>
      <c r="F77" s="160">
        <f>E77/E74</f>
        <v>0.18023840312844694</v>
      </c>
      <c r="H77" s="238">
        <f>Inputs!F93</f>
        <v>549856</v>
      </c>
      <c r="I77" s="160">
        <f>H77/$H$74</f>
        <v>0.18023840312844694</v>
      </c>
      <c r="K77" s="24"/>
    </row>
    <row r="78" spans="1:11" ht="15" customHeight="1" x14ac:dyDescent="0.4">
      <c r="B78" s="73" t="s">
        <v>167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227</v>
      </c>
      <c r="C79" s="257">
        <f>C76-C77-C78</f>
        <v>-76617</v>
      </c>
      <c r="D79" s="258">
        <f>C79/C74</f>
        <v>-2.5114440385286728E-2</v>
      </c>
      <c r="E79" s="259">
        <f>E76-E77-E78</f>
        <v>-76617</v>
      </c>
      <c r="F79" s="258">
        <f>E79/E74</f>
        <v>-2.5114440385286728E-2</v>
      </c>
      <c r="G79" s="260"/>
      <c r="H79" s="259">
        <f>H76-H77-H78</f>
        <v>-76617</v>
      </c>
      <c r="I79" s="258">
        <f>H79/H74</f>
        <v>-2.5114440385286728E-2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251</v>
      </c>
      <c r="C81" s="77">
        <f>MAX(Data!C17,0)</f>
        <v>54645</v>
      </c>
      <c r="D81" s="159">
        <f>C81/$C$74</f>
        <v>1.7912194354438221E-2</v>
      </c>
      <c r="E81" s="180">
        <f>E74*F81</f>
        <v>54645</v>
      </c>
      <c r="F81" s="160">
        <f>I81</f>
        <v>1.7912194354438221E-2</v>
      </c>
      <c r="H81" s="238">
        <f>Inputs!F94</f>
        <v>54645</v>
      </c>
      <c r="I81" s="160">
        <f>H81/$H$74</f>
        <v>1.7912194354438221E-2</v>
      </c>
      <c r="K81" s="24"/>
    </row>
    <row r="82" spans="1:11" ht="15" customHeight="1" x14ac:dyDescent="0.4">
      <c r="B82" s="28" t="s">
        <v>241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-131262</v>
      </c>
      <c r="D83" s="164">
        <f>C83/$C$74</f>
        <v>-4.3026634739724949E-2</v>
      </c>
      <c r="E83" s="165">
        <f>E79-E81-E82-E80</f>
        <v>-131262</v>
      </c>
      <c r="F83" s="164">
        <f>E83/E74</f>
        <v>-4.3026634739724949E-2</v>
      </c>
      <c r="H83" s="165">
        <f>H79-H81-H82-H80</f>
        <v>-131262</v>
      </c>
      <c r="I83" s="164">
        <f>H83/$H$74</f>
        <v>-4.3026634739724949E-2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-98446.5</v>
      </c>
      <c r="D85" s="258">
        <f>C85/$C$74</f>
        <v>-3.226997605479371E-2</v>
      </c>
      <c r="E85" s="264">
        <f>E83*(1-F84)</f>
        <v>-98446.5</v>
      </c>
      <c r="F85" s="258">
        <f>E85/E74</f>
        <v>-3.226997605479371E-2</v>
      </c>
      <c r="G85" s="260"/>
      <c r="H85" s="264">
        <f>H83*(1-I84)</f>
        <v>-98446.5</v>
      </c>
      <c r="I85" s="258">
        <f>H85/$H$74</f>
        <v>-3.226997605479371E-2</v>
      </c>
      <c r="K85" s="24"/>
    </row>
    <row r="86" spans="1:11" ht="15" customHeight="1" x14ac:dyDescent="0.4">
      <c r="B86" s="87" t="s">
        <v>155</v>
      </c>
      <c r="C86" s="167">
        <f>C85*Data!C4/Common_Shares</f>
        <v>-0.75448359096191708</v>
      </c>
      <c r="D86" s="209"/>
      <c r="E86" s="168">
        <f>E85*Data!C4/Common_Shares</f>
        <v>-0.75448359096191708</v>
      </c>
      <c r="F86" s="209"/>
      <c r="H86" s="168">
        <f>H85*Data!C4/Common_Shares</f>
        <v>-0.75448359096191708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-9.8804517516262631E-3</v>
      </c>
      <c r="D87" s="209"/>
      <c r="E87" s="262">
        <f>E86*Exchange_Rate/Dashboard!G3</f>
        <v>-9.8804517516262631E-3</v>
      </c>
      <c r="F87" s="209"/>
      <c r="H87" s="262">
        <f>H86*Exchange_Rate/Dashboard!G3</f>
        <v>-9.8804517516262631E-3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216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-11.587380898889172</v>
      </c>
      <c r="H93" s="87" t="s">
        <v>204</v>
      </c>
      <c r="I93" s="144">
        <f>FV(H87,D93,0,-(H86/(C93-D94)))*Exchange_Rate</f>
        <v>-11.587380898889172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0</v>
      </c>
      <c r="H94" s="87" t="s">
        <v>205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-751703.48415092949</v>
      </c>
      <c r="D97" s="213"/>
      <c r="E97" s="123">
        <f>PV(C94,D93,0,-F93)</f>
        <v>-5.7609762059674825</v>
      </c>
      <c r="F97" s="213"/>
      <c r="H97" s="123">
        <f>PV(C94,D93,0,-I93)</f>
        <v>-5.7609762059674825</v>
      </c>
      <c r="I97" s="123">
        <f>PV(C93,D93,0,-I93)</f>
        <v>-7.6618974690306541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-751703.48415092949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