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7DBAF4E-48B3-451F-BA41-851C91D2A37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4" i="4"/>
  <c r="F93" i="4"/>
  <c r="E92" i="4"/>
  <c r="F91" i="4"/>
  <c r="F92" i="4" s="1"/>
  <c r="E91" i="4"/>
  <c r="E93" i="4" s="1"/>
  <c r="D71" i="4"/>
  <c r="D69" i="4"/>
  <c r="D68" i="4"/>
  <c r="D67" i="4"/>
  <c r="D63" i="4"/>
  <c r="D62" i="4"/>
  <c r="D61" i="4"/>
  <c r="D60" i="4"/>
  <c r="D59" i="4"/>
  <c r="D58" i="4"/>
  <c r="D55" i="4"/>
  <c r="D50" i="4"/>
  <c r="D53" i="4" s="1"/>
  <c r="C16" i="4"/>
  <c r="B7" i="3"/>
  <c r="M53" i="2"/>
  <c r="F95" i="4" l="1"/>
  <c r="F96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E55" i="2"/>
  <c r="J53" i="2"/>
  <c r="K50" i="2"/>
  <c r="H53" i="2"/>
  <c r="I50" i="2"/>
  <c r="E53" i="2"/>
  <c r="F53" i="2"/>
  <c r="K53" i="2"/>
  <c r="L50" i="2"/>
  <c r="G53" i="2"/>
  <c r="D53" i="2"/>
  <c r="C53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47" i="2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0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G50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E50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J14" i="2" s="1"/>
  <c r="E102" i="3"/>
  <c r="H102" i="3"/>
  <c r="C93" i="3"/>
  <c r="I94" i="3" s="1"/>
  <c r="F55" i="2" l="1"/>
  <c r="G55" i="2"/>
  <c r="D55" i="2"/>
  <c r="H55" i="2"/>
  <c r="J60" i="2"/>
  <c r="J22" i="2"/>
  <c r="J61" i="2" s="1"/>
  <c r="I22" i="2"/>
  <c r="I61" i="2" s="1"/>
  <c r="F22" i="2"/>
  <c r="F61" i="2" s="1"/>
  <c r="F60" i="2"/>
  <c r="K15" i="2"/>
  <c r="L60" i="2"/>
  <c r="J15" i="2"/>
  <c r="K60" i="2"/>
  <c r="E22" i="2"/>
  <c r="E61" i="2" s="1"/>
  <c r="E60" i="2"/>
  <c r="D22" i="2"/>
  <c r="D61" i="2" s="1"/>
  <c r="D60" i="2"/>
  <c r="L15" i="2"/>
  <c r="M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L59" i="2" s="1"/>
  <c r="E40" i="2"/>
  <c r="G13" i="2"/>
  <c r="D40" i="2"/>
  <c r="D13" i="2"/>
  <c r="D59" i="2" s="1"/>
  <c r="G40" i="2"/>
  <c r="K56" i="2"/>
  <c r="L24" i="2"/>
  <c r="L23" i="2" s="1"/>
  <c r="M57" i="2"/>
  <c r="M56" i="2"/>
  <c r="K59" i="2" l="1"/>
  <c r="E57" i="2"/>
  <c r="G59" i="2"/>
  <c r="M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<sst xmlns="http://schemas.openxmlformats.org/spreadsheetml/2006/main" count="393" uniqueCount="276">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</sst>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9.8097105597332122E-4</c:v>
                </c:pt>
                <c:pt idx="3">
                  <c:v>0</c:v>
                </c:pt>
                <c:pt idx="4">
                  <c:v>7.0437342852983705E-5</c:v>
                </c:pt>
                <c:pt idx="5">
                  <c:v>0</c:v>
                </c:pt>
                <c:pt idx="6">
                  <c:v>0.12243307999388223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268</v>
      </c>
    </row>
    <row r="5" spans="1:5" ht="13.9" x14ac:dyDescent="0.4">
      <c r="B5" s="141" t="s">
        <v>191</v>
      </c>
      <c r="C5" s="191" t="s">
        <v>269</v>
      </c>
    </row>
    <row r="6" spans="1:5" ht="13.9" x14ac:dyDescent="0.4">
      <c r="B6" s="141" t="s">
        <v>159</v>
      </c>
      <c r="C6" s="189">
        <v>45591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270</v>
      </c>
      <c r="E8" s="267"/>
    </row>
    <row r="9" spans="1:5" ht="13.9" x14ac:dyDescent="0.4">
      <c r="B9" s="140" t="s">
        <v>212</v>
      </c>
      <c r="C9" s="192" t="s">
        <v>271</v>
      </c>
    </row>
    <row r="10" spans="1:5" ht="13.9" x14ac:dyDescent="0.4">
      <c r="B10" s="140" t="s">
        <v>213</v>
      </c>
      <c r="C10" s="193">
        <v>1043691480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251</v>
      </c>
      <c r="C15" s="176" t="s">
        <v>255</v>
      </c>
    </row>
    <row r="16" spans="1:5" ht="13.9" x14ac:dyDescent="0.4">
      <c r="B16" s="222" t="s">
        <v>94</v>
      </c>
      <c r="C16" s="223">
        <f>(16.5%+25%)/2</f>
        <v>0.20750000000000002</v>
      </c>
      <c r="D16" s="24"/>
    </row>
    <row r="17" spans="2:13" ht="13.9" x14ac:dyDescent="0.4">
      <c r="B17" s="240" t="s">
        <v>220</v>
      </c>
      <c r="C17" s="242" t="s">
        <v>272</v>
      </c>
      <c r="D17" s="24"/>
    </row>
    <row r="18" spans="2:13" ht="13.9" x14ac:dyDescent="0.4">
      <c r="B18" s="240" t="s">
        <v>234</v>
      </c>
      <c r="C18" s="242" t="s">
        <v>241</v>
      </c>
      <c r="D18" s="24"/>
    </row>
    <row r="19" spans="2:13" ht="13.9" x14ac:dyDescent="0.4">
      <c r="B19" s="240" t="s">
        <v>235</v>
      </c>
      <c r="C19" s="242" t="s">
        <v>273</v>
      </c>
      <c r="D19" s="24"/>
    </row>
    <row r="20" spans="2:13" ht="13.9" x14ac:dyDescent="0.4">
      <c r="B20" s="241" t="s">
        <v>224</v>
      </c>
      <c r="C20" s="242" t="s">
        <v>273</v>
      </c>
      <c r="D20" s="24"/>
    </row>
    <row r="21" spans="2:13" ht="13.9" x14ac:dyDescent="0.4">
      <c r="B21" s="224" t="s">
        <v>227</v>
      </c>
      <c r="C21" s="242" t="s">
        <v>272</v>
      </c>
      <c r="D21" s="24"/>
    </row>
    <row r="22" spans="2:13" ht="78.75" x14ac:dyDescent="0.4">
      <c r="B22" s="226" t="s">
        <v>226</v>
      </c>
      <c r="C22" s="243" t="s">
        <v>274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3.9" x14ac:dyDescent="0.4">
      <c r="B26" s="97" t="s">
        <v>103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3.9" x14ac:dyDescent="0.4">
      <c r="B27" s="97" t="s">
        <v>101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252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3.9" x14ac:dyDescent="0.4">
      <c r="B30" s="99" t="s">
        <v>108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3.9" x14ac:dyDescent="0.4">
      <c r="B31" s="97" t="s">
        <v>107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3.9" x14ac:dyDescent="0.4">
      <c r="B32" s="97" t="s">
        <v>102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3.9" x14ac:dyDescent="0.4">
      <c r="B33" s="97" t="s">
        <v>105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3.9" x14ac:dyDescent="0.4">
      <c r="B35" s="94" t="s">
        <v>114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3.9" x14ac:dyDescent="0.4">
      <c r="B36" s="94" t="s">
        <v>145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248</v>
      </c>
      <c r="C45" s="152">
        <f>IF(C44="","",C44*Exchange_Rate/Dashboard!$G$3)</f>
        <v>2.8921389396709327E-2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>
        <v>1322113</v>
      </c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221617</v>
      </c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>
        <v>63587</v>
      </c>
      <c r="D54" s="60">
        <v>0.1</v>
      </c>
      <c r="E54" s="112"/>
    </row>
    <row r="55" spans="2:5" ht="13.9" x14ac:dyDescent="0.4">
      <c r="B55" s="3" t="s">
        <v>44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v>85171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23958</v>
      </c>
      <c r="D70" s="60">
        <v>0.05</v>
      </c>
      <c r="E70" s="112"/>
    </row>
    <row r="71" spans="2:5" ht="13.9" x14ac:dyDescent="0.4">
      <c r="B71" s="3" t="s">
        <v>72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62618</v>
      </c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>
        <v>5523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>
        <v>2115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100207</v>
      </c>
    </row>
    <row r="83" spans="2:8" ht="14.25" thickTop="1" x14ac:dyDescent="0.4">
      <c r="B83" s="73" t="s">
        <v>216</v>
      </c>
      <c r="C83" s="59">
        <v>3620511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247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3.9" x14ac:dyDescent="0.4">
      <c r="B92" s="104" t="s">
        <v>103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3.9" x14ac:dyDescent="0.4">
      <c r="B93" s="104" t="s">
        <v>243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3.9" x14ac:dyDescent="0.4">
      <c r="B94" s="104" t="s">
        <v>252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3.9" x14ac:dyDescent="0.4">
      <c r="B95" s="28" t="s">
        <v>242</v>
      </c>
      <c r="C95" s="77">
        <f>ABS(MAX(C33,0)-C32)</f>
        <v>281973</v>
      </c>
      <c r="D95" s="159">
        <f>C95/C91</f>
        <v>7.3560847689942116E-2</v>
      </c>
      <c r="E95" s="252">
        <f>E91*0.01</f>
        <v>38331.94</v>
      </c>
      <c r="F95" s="252">
        <f>F91*0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3760.2523659305994</v>
      </c>
      <c r="D97" s="159">
        <f>C97/C91</f>
        <v>9.8097105597332122E-4</v>
      </c>
      <c r="E97" s="253"/>
      <c r="F97" s="252">
        <f>F91*D97</f>
        <v>3760.2523659305989</v>
      </c>
    </row>
    <row r="98" spans="2:7" ht="13.9" x14ac:dyDescent="0.4">
      <c r="B98" s="86" t="s">
        <v>203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1475.HK</v>
      </c>
      <c r="D3" s="282"/>
      <c r="E3" s="87"/>
      <c r="F3" s="3" t="s">
        <v>1</v>
      </c>
      <c r="G3" s="132">
        <v>5.47</v>
      </c>
      <c r="H3" s="134" t="s">
        <v>275</v>
      </c>
    </row>
    <row r="4" spans="1:10" ht="15.75" customHeight="1" x14ac:dyDescent="0.4">
      <c r="B4" s="35" t="s">
        <v>191</v>
      </c>
      <c r="C4" s="283" t="str">
        <f>Inputs!C5</f>
        <v>NISSIN FOODS</v>
      </c>
      <c r="D4" s="284"/>
      <c r="E4" s="87"/>
      <c r="F4" s="3" t="s">
        <v>3</v>
      </c>
      <c r="G4" s="287">
        <f>Inputs!C10</f>
        <v>1043691480</v>
      </c>
      <c r="H4" s="287"/>
      <c r="I4" s="39"/>
    </row>
    <row r="5" spans="1:10" ht="15.75" customHeight="1" x14ac:dyDescent="0.4">
      <c r="B5" s="3" t="s">
        <v>159</v>
      </c>
      <c r="C5" s="285">
        <f>Inputs!C6</f>
        <v>45591</v>
      </c>
      <c r="D5" s="286"/>
      <c r="E5" s="34"/>
      <c r="F5" s="35" t="s">
        <v>97</v>
      </c>
      <c r="G5" s="279">
        <f>G3*G4/1000000</f>
        <v>5708.9923955999993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CN</v>
      </c>
      <c r="F16" s="110" t="s">
        <v>174</v>
      </c>
    </row>
    <row r="17" spans="1:8" ht="15.75" customHeight="1" thickTop="1" x14ac:dyDescent="0.4">
      <c r="B17" s="87" t="s">
        <v>250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0.66005868735054896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0.21645682425674254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9.8097105597332122E-4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>
        <f>G3/(Data!C36*Data!C4/Common_Shares*Exchange_Rate)</f>
        <v>1.5572283958753168</v>
      </c>
    </row>
    <row r="24" spans="1:8" ht="15.75" customHeight="1" x14ac:dyDescent="0.4">
      <c r="B24" s="137" t="s">
        <v>166</v>
      </c>
      <c r="C24" s="171">
        <f>Fin_Analysis!I81</f>
        <v>7.0437342852983705E-5</v>
      </c>
      <c r="F24" s="140" t="s">
        <v>254</v>
      </c>
      <c r="G24" s="268">
        <f>G3/(Fin_Analysis!H86*G7)</f>
        <v>15.349725697831682</v>
      </c>
    </row>
    <row r="25" spans="1:8" ht="15.75" customHeight="1" x14ac:dyDescent="0.4">
      <c r="B25" s="137" t="s">
        <v>239</v>
      </c>
      <c r="C25" s="171">
        <f>Fin_Analysis!I82</f>
        <v>0</v>
      </c>
      <c r="F25" s="140" t="s">
        <v>170</v>
      </c>
      <c r="G25" s="171">
        <f>Fin_Analysis!I88</f>
        <v>0.44393539403966586</v>
      </c>
    </row>
    <row r="26" spans="1:8" ht="15.75" customHeight="1" x14ac:dyDescent="0.4">
      <c r="B26" s="138" t="s">
        <v>169</v>
      </c>
      <c r="C26" s="171">
        <f>Fin_Analysis!I83</f>
        <v>0.12243307999388223</v>
      </c>
      <c r="F26" s="141" t="s">
        <v>189</v>
      </c>
      <c r="G26" s="178">
        <f>Fin_Analysis!H88*Exchange_Rate/G3</f>
        <v>2.8921389396709327E-2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253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3.7766788412466625</v>
      </c>
      <c r="D29" s="129">
        <f>G29*(1+G20)</f>
        <v>6.8176215057477823</v>
      </c>
      <c r="E29" s="87"/>
      <c r="F29" s="131">
        <f>IF(Fin_Analysis!C108="Profit",Fin_Analysis!F100,IF(Fin_Analysis!C108="Dividend",Fin_Analysis!F103,Fin_Analysis!F106))</f>
        <v>4.4431515779372504</v>
      </c>
      <c r="G29" s="278">
        <f>IF(Fin_Analysis!C108="Profit",Fin_Analysis!I100,IF(Fin_Analysis!C108="Dividend",Fin_Analysis!I103,Fin_Analysis!I106))</f>
        <v>5.9283665267372028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Strongly agree</v>
      </c>
    </row>
    <row r="34" spans="1:3" ht="15.75" customHeight="1" x14ac:dyDescent="0.4">
      <c r="A34"/>
      <c r="B34" s="19" t="s">
        <v>221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agree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agree</v>
      </c>
    </row>
    <row r="40" spans="1:3" ht="15.75" customHeight="1" x14ac:dyDescent="0.4">
      <c r="A40"/>
      <c r="B40" s="1" t="s">
        <v>227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>
        <f>(G3/F3)^(1/H3)-1</f>
        <v>0.10850846122502222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3760.2523659305994</v>
      </c>
      <c r="D12" s="199">
        <f>IF(Inputs!D30="","",MAX(Inputs!D30,0)/(1-Fin_Analysis!$I$84))</f>
        <v>38025.236593059941</v>
      </c>
      <c r="E12" s="199">
        <f>IF(Inputs!E30="","",MAX(Inputs!E30,0)/(1-Fin_Analysis!$I$84))</f>
        <v>44686.435331230285</v>
      </c>
      <c r="F12" s="199">
        <f>IF(Inputs!F30="","",MAX(Inputs!F30,0)/(1-Fin_Analysis!$I$84))</f>
        <v>38677.602523659305</v>
      </c>
      <c r="G12" s="199">
        <f>IF(Inputs!G30="","",MAX(Inputs!G30,0)/(1-Fin_Analysis!$I$84))</f>
        <v>35273.186119873819</v>
      </c>
      <c r="H12" s="199">
        <f>IF(Inputs!H30="","",MAX(Inputs!H30,0)/(1-Fin_Analysis!$I$84))</f>
        <v>31714.826498422713</v>
      </c>
      <c r="I12" s="199">
        <f>IF(Inputs!I30="","",MAX(Inputs!I30,0)/(1-Fin_Analysis!$I$84))</f>
        <v>31668.13880126183</v>
      </c>
      <c r="J12" s="199">
        <f>IF(Inputs!J30="","",MAX(Inputs!J30,0)/(1-Fin_Analysis!$I$84))</f>
        <v>20681.388012618296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0.12250351733673522</v>
      </c>
      <c r="D13" s="229">
        <f t="shared" si="3"/>
        <v>0.10374104375778445</v>
      </c>
      <c r="E13" s="229">
        <f t="shared" si="3"/>
        <v>0.10676016554922678</v>
      </c>
      <c r="F13" s="229">
        <f t="shared" si="3"/>
        <v>0.11518358072298703</v>
      </c>
      <c r="G13" s="229">
        <f t="shared" si="3"/>
        <v>9.7574864888451018E-2</v>
      </c>
      <c r="H13" s="229">
        <f t="shared" si="3"/>
        <v>8.4396362012618686E-2</v>
      </c>
      <c r="I13" s="229">
        <f t="shared" si="3"/>
        <v>8.1279060845364945E-2</v>
      </c>
      <c r="J13" s="229">
        <f t="shared" si="3"/>
        <v>0.1025472828818462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469579.74763406941</v>
      </c>
      <c r="D14" s="230">
        <f t="shared" ref="D14:M14" si="4">IF(D6="","",D9-D10-MAX(D11,0)-MAX(D12,0))</f>
        <v>421990.76340694004</v>
      </c>
      <c r="E14" s="230">
        <f t="shared" si="4"/>
        <v>412770.56466876972</v>
      </c>
      <c r="F14" s="230">
        <f t="shared" si="4"/>
        <v>405313.3974763407</v>
      </c>
      <c r="G14" s="230">
        <f t="shared" si="4"/>
        <v>301289.81388012617</v>
      </c>
      <c r="H14" s="230">
        <f t="shared" si="4"/>
        <v>253090.17350157729</v>
      </c>
      <c r="I14" s="230">
        <f t="shared" si="4"/>
        <v>235893.86119873816</v>
      </c>
      <c r="J14" s="230">
        <f t="shared" si="4"/>
        <v>269689.61198738171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0.11277257313150643</v>
      </c>
      <c r="D15" s="232">
        <f t="shared" ref="D15:M15" si="5">IF(E14="","",IF(ABS(D14+E14)=ABS(D14)+ABS(E14),IF(D14&lt;0,-1,1)*(D14-E14)/E14,"Turn"))</f>
        <v>2.2337345555560939E-2</v>
      </c>
      <c r="E15" s="232">
        <f t="shared" si="5"/>
        <v>1.8398521338945647E-2</v>
      </c>
      <c r="F15" s="232">
        <f t="shared" si="5"/>
        <v>0.34526087110798337</v>
      </c>
      <c r="G15" s="232">
        <f t="shared" si="5"/>
        <v>0.19044453489320673</v>
      </c>
      <c r="H15" s="232">
        <f t="shared" si="5"/>
        <v>7.2898515524960655E-2</v>
      </c>
      <c r="I15" s="232">
        <f t="shared" si="5"/>
        <v>-0.12531350592111345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252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187336.74763406941</v>
      </c>
      <c r="D22" s="161">
        <f t="shared" ref="D22:M22" si="8">IF(D6="","",D14-MAX(D16,0)-MAX(D17,0)-ABS(MAX(D21,0)-MAX(D19,0)))</f>
        <v>-166355.23659305996</v>
      </c>
      <c r="E22" s="161">
        <f t="shared" si="8"/>
        <v>147078.56466876972</v>
      </c>
      <c r="F22" s="161">
        <f t="shared" si="8"/>
        <v>182060.3974763407</v>
      </c>
      <c r="G22" s="161">
        <f t="shared" si="8"/>
        <v>40799.813880126167</v>
      </c>
      <c r="H22" s="161">
        <f t="shared" si="8"/>
        <v>55440.173501577287</v>
      </c>
      <c r="I22" s="161">
        <f t="shared" si="8"/>
        <v>-3693.1388012618409</v>
      </c>
      <c r="J22" s="161">
        <f t="shared" si="8"/>
        <v>-176292.38801261829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3.8731244100872537E-2</v>
      </c>
      <c r="D23" s="153">
        <f t="shared" si="9"/>
        <v>-3.2410327179863377E-2</v>
      </c>
      <c r="E23" s="153">
        <f t="shared" si="9"/>
        <v>3.0147352078906769E-2</v>
      </c>
      <c r="F23" s="153">
        <f t="shared" si="9"/>
        <v>4.1002881057346341E-2</v>
      </c>
      <c r="G23" s="153">
        <f t="shared" si="9"/>
        <v>1.047154979579186E-2</v>
      </c>
      <c r="H23" s="153">
        <f t="shared" si="9"/>
        <v>1.4651169556906899E-2</v>
      </c>
      <c r="I23" s="153">
        <f t="shared" si="9"/>
        <v>-1.0084559643120882E-3</v>
      </c>
      <c r="J23" s="153">
        <f t="shared" si="9"/>
        <v>-5.3124244982233199E-2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-0.19214410872697874</v>
      </c>
      <c r="F25" s="233">
        <f t="shared" si="10"/>
        <v>3.4622849999083796</v>
      </c>
      <c r="G25" s="233">
        <f t="shared" si="10"/>
        <v>-0.26407492431520979</v>
      </c>
      <c r="H25" s="233" t="str">
        <f t="shared" si="10"/>
        <v>Turn</v>
      </c>
      <c r="I25" s="233">
        <f t="shared" si="10"/>
        <v>0.979051059192655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>
        <f>IF(C6="","",C14/MAX(C39,0))</f>
        <v>0.1618841939033181</v>
      </c>
      <c r="D40" s="155">
        <f>IF(D6="","",D14/MAX(D39,0))</f>
        <v>0.1412874661570408</v>
      </c>
      <c r="E40" s="155">
        <f>IF(E6="","",E14/MAX(E39,0))</f>
        <v>0.1319108964856309</v>
      </c>
      <c r="F40" s="155">
        <f t="shared" ref="F40:M40" si="33">IF(F39="","",F14/F39)</f>
        <v>0.14276761261073659</v>
      </c>
      <c r="G40" s="155">
        <f t="shared" si="33"/>
        <v>0.12201836204761517</v>
      </c>
      <c r="H40" s="155">
        <f t="shared" si="33"/>
        <v>0.10700985006690057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9.8097105597332122E-4</v>
      </c>
      <c r="D46" s="153">
        <f t="shared" ref="D46:M46" si="38">IF(D6="","",MAX(D12,0)/D6)</f>
        <v>9.3480191401645787E-3</v>
      </c>
      <c r="E46" s="153">
        <f t="shared" si="38"/>
        <v>1.1557828106263499E-2</v>
      </c>
      <c r="F46" s="153">
        <f t="shared" si="38"/>
        <v>1.0991555621389423E-2</v>
      </c>
      <c r="G46" s="153">
        <f t="shared" si="38"/>
        <v>1.1423474048151024E-2</v>
      </c>
      <c r="H46" s="153">
        <f t="shared" si="38"/>
        <v>1.0575740422065792E-2</v>
      </c>
      <c r="I46" s="153">
        <f t="shared" si="38"/>
        <v>1.0911503026857875E-2</v>
      </c>
      <c r="J46" s="153">
        <f t="shared" si="38"/>
        <v>7.8639296904710609E-3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4.8872232303940111E-2</v>
      </c>
      <c r="D48" s="153">
        <f t="shared" si="40"/>
        <v>-4.0896311898881238E-2</v>
      </c>
      <c r="E48" s="153">
        <f t="shared" si="40"/>
        <v>3.8040822812500652E-2</v>
      </c>
      <c r="F48" s="153">
        <f t="shared" si="40"/>
        <v>5.1738651176462265E-2</v>
      </c>
      <c r="G48" s="153">
        <f t="shared" si="40"/>
        <v>1.321331204516323E-2</v>
      </c>
      <c r="H48" s="153">
        <f t="shared" si="40"/>
        <v>1.8487280197989776E-2</v>
      </c>
      <c r="I48" s="153">
        <f t="shared" si="40"/>
        <v>-1.2724996395105214E-3</v>
      </c>
      <c r="J48" s="153">
        <f t="shared" si="40"/>
        <v>-6.7033747611650721E-2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>
        <f>IF(C6="","",C6/C39)</f>
        <v>1.3214656805186584</v>
      </c>
      <c r="D50" s="272">
        <f t="shared" ref="D50:M50" si="41">IF(D6="","",D6/D39)</f>
        <v>1.36192447115647</v>
      </c>
      <c r="E50" s="272">
        <f t="shared" si="41"/>
        <v>1.2355816029978632</v>
      </c>
      <c r="F50" s="272">
        <f t="shared" si="41"/>
        <v>1.239478853796778</v>
      </c>
      <c r="G50" s="272">
        <f t="shared" si="41"/>
        <v>1.2505101819726658</v>
      </c>
      <c r="H50" s="272">
        <f t="shared" si="41"/>
        <v>1.2679438724017604</v>
      </c>
      <c r="I50" s="272" t="e">
        <f t="shared" si="41"/>
        <v>#VALUE!</v>
      </c>
      <c r="J50" s="272" t="e">
        <f t="shared" si="41"/>
        <v>#VALUE!</v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0.11009565391159436</v>
      </c>
      <c r="D51" s="153">
        <f t="shared" si="42"/>
        <v>9.1661397555197838E-2</v>
      </c>
      <c r="E51" s="153">
        <f t="shared" si="42"/>
        <v>0.12295416718934081</v>
      </c>
      <c r="F51" s="153">
        <f t="shared" si="42"/>
        <v>0.1445203499896415</v>
      </c>
      <c r="G51" s="153">
        <f t="shared" si="42"/>
        <v>0.13636200235703244</v>
      </c>
      <c r="H51" s="153">
        <f t="shared" si="42"/>
        <v>0.1500359473767752</v>
      </c>
      <c r="I51" s="153">
        <f t="shared" si="42"/>
        <v>0.14492995312980766</v>
      </c>
      <c r="J51" s="153">
        <f t="shared" si="42"/>
        <v>0.11269266380344538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9.6732124698097721E-2</v>
      </c>
      <c r="D52" s="153">
        <f t="shared" si="43"/>
        <v>0.10202614134854508</v>
      </c>
      <c r="E52" s="153">
        <f t="shared" si="43"/>
        <v>0.12026867821851961</v>
      </c>
      <c r="F52" s="153">
        <f t="shared" si="43"/>
        <v>0.10319971286049096</v>
      </c>
      <c r="G52" s="153">
        <f t="shared" si="43"/>
        <v>0.10576948300413792</v>
      </c>
      <c r="H52" s="153">
        <f t="shared" si="43"/>
        <v>9.8066978166136909E-2</v>
      </c>
      <c r="I52" s="153">
        <f t="shared" si="43"/>
        <v>0.10017258898290339</v>
      </c>
      <c r="J52" s="153">
        <f t="shared" si="43"/>
        <v>8.1801814133970613E-2</v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>
        <f>IF(D6="","",C16/(C6-D6))</f>
        <v>0.90436944119929397</v>
      </c>
      <c r="D53" s="153">
        <f t="shared" ref="D53:M53" si="44">IF(E6="","",D16/(D6-E6))</f>
        <v>-0.31732846070199655</v>
      </c>
      <c r="E53" s="153">
        <f t="shared" si="44"/>
        <v>-0.24522285661663137</v>
      </c>
      <c r="F53" s="153">
        <f t="shared" si="44"/>
        <v>-0.32002755958484314</v>
      </c>
      <c r="G53" s="153">
        <f t="shared" si="44"/>
        <v>-2.0781423898013558</v>
      </c>
      <c r="H53" s="153">
        <f t="shared" si="44"/>
        <v>-0.61129695413072072</v>
      </c>
      <c r="I53" s="153">
        <f t="shared" si="44"/>
        <v>-4.8148447309869807E-2</v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>
        <f>IF(C36="","",(C36-C37)/C27)</f>
        <v>0.79234774516965889</v>
      </c>
      <c r="D55" s="156">
        <f t="shared" ref="D55:M55" si="45">IF(D36="","",(D36-D37)/D27)</f>
        <v>0.77533048959024775</v>
      </c>
      <c r="E55" s="156">
        <f t="shared" si="45"/>
        <v>0.75113360049083866</v>
      </c>
      <c r="F55" s="156">
        <f t="shared" si="45"/>
        <v>0.75227103276988738</v>
      </c>
      <c r="G55" s="156">
        <f t="shared" si="45"/>
        <v>0.77462650493209873</v>
      </c>
      <c r="H55" s="156">
        <f t="shared" si="45"/>
        <v>0.78313336507385067</v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24.526937370263081</v>
      </c>
      <c r="D56" s="157">
        <f t="shared" si="46"/>
        <v>-17.20145141071864</v>
      </c>
      <c r="E56" s="157">
        <f t="shared" si="46"/>
        <v>13.117959745698334</v>
      </c>
      <c r="F56" s="157">
        <f t="shared" si="46"/>
        <v>10.918819567970536</v>
      </c>
      <c r="G56" s="157">
        <f t="shared" si="46"/>
        <v>22.780465594710311</v>
      </c>
      <c r="H56" s="157" t="str">
        <f t="shared" si="46"/>
        <v>-</v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1.4412548707603233E-3</v>
      </c>
      <c r="D57" s="153">
        <f t="shared" si="47"/>
        <v>-1.5569092100994012E-3</v>
      </c>
      <c r="E57" s="153">
        <f t="shared" si="47"/>
        <v>2.4816668616667779E-3</v>
      </c>
      <c r="F57" s="153">
        <f t="shared" si="47"/>
        <v>6.3715119602040062E-4</v>
      </c>
      <c r="G57" s="153">
        <f t="shared" si="47"/>
        <v>1.5686346067175269E-3</v>
      </c>
      <c r="H57" s="153" t="str">
        <f t="shared" si="47"/>
        <v>-</v>
      </c>
      <c r="I57" s="153" t="str">
        <f t="shared" si="47"/>
        <v>-</v>
      </c>
      <c r="J57" s="153" t="str">
        <f t="shared" si="47"/>
        <v>-</v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3.0168041692869996</v>
      </c>
      <c r="D58" s="158">
        <f t="shared" si="48"/>
        <v>2.7942400285655307</v>
      </c>
      <c r="E58" s="158">
        <f t="shared" si="48"/>
        <v>2.9317232378441278</v>
      </c>
      <c r="F58" s="158">
        <f t="shared" si="48"/>
        <v>3.0944307449985029</v>
      </c>
      <c r="G58" s="158">
        <f t="shared" si="48"/>
        <v>3.4859449249150689</v>
      </c>
      <c r="H58" s="158">
        <f t="shared" si="48"/>
        <v>3.6713486815660423</v>
      </c>
      <c r="I58" s="158" t="e">
        <f t="shared" si="48"/>
        <v>#VALUE!</v>
      </c>
      <c r="J58" s="158" t="e">
        <f t="shared" si="48"/>
        <v>#VALUE!</v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>Error</v>
      </c>
      <c r="E59" s="273" t="str">
        <f t="shared" si="49"/>
        <v>Error</v>
      </c>
      <c r="F59" s="273" t="str">
        <f t="shared" si="49"/>
        <v>Error</v>
      </c>
      <c r="G59" s="273" t="str">
        <f t="shared" si="49"/>
        <v>Error</v>
      </c>
      <c r="H59" s="273" t="str">
        <f t="shared" si="49"/>
        <v>Error</v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>
        <f>IF(C14="","",C14/(C36-C37))</f>
        <v>0.12969985386981822</v>
      </c>
      <c r="D60" s="274">
        <f t="shared" ref="D60:M60" si="50">IF(D14="","",D14/(D36-D37))</f>
        <v>0.11620476923814542</v>
      </c>
      <c r="E60" s="274">
        <f t="shared" si="50"/>
        <v>0.10448197485742679</v>
      </c>
      <c r="F60" s="274">
        <f t="shared" si="50"/>
        <v>0.10393506682892123</v>
      </c>
      <c r="G60" s="274">
        <f t="shared" si="50"/>
        <v>8.3934909628360588E-2</v>
      </c>
      <c r="H60" s="274">
        <f t="shared" si="50"/>
        <v>7.2715861436737694E-2</v>
      </c>
      <c r="I60" s="274" t="e">
        <f t="shared" si="50"/>
        <v>#VALUE!</v>
      </c>
      <c r="J60" s="274" t="e">
        <f t="shared" si="50"/>
        <v>#VALUE!</v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>
        <f>IF(C22="","",C22/(C36-C37))</f>
        <v>5.1743178693303075E-2</v>
      </c>
      <c r="D61" s="274">
        <f t="shared" ref="D61:M61" si="51">IF(D22="","",D22/(D36-D37))</f>
        <v>-4.5809703804374068E-2</v>
      </c>
      <c r="E61" s="274">
        <f t="shared" si="51"/>
        <v>3.7229057038309428E-2</v>
      </c>
      <c r="F61" s="274">
        <f t="shared" si="51"/>
        <v>4.668599581564039E-2</v>
      </c>
      <c r="G61" s="274">
        <f t="shared" si="51"/>
        <v>1.1366227907873562E-2</v>
      </c>
      <c r="H61" s="274">
        <f t="shared" si="51"/>
        <v>1.5928630964189793E-2</v>
      </c>
      <c r="I61" s="274" t="e">
        <f t="shared" si="51"/>
        <v>#VALUE!</v>
      </c>
      <c r="J61" s="274" t="e">
        <f t="shared" si="51"/>
        <v>#VALUE!</v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3620511</v>
      </c>
      <c r="K3" s="24"/>
    </row>
    <row r="4" spans="1:11" ht="15" customHeight="1" x14ac:dyDescent="0.4">
      <c r="B4" s="3" t="s">
        <v>24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3.0168041692869996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1097907.2411789391</v>
      </c>
      <c r="E6" s="56">
        <f>1-D6/D3</f>
        <v>0.70052643031743078</v>
      </c>
      <c r="F6" s="87"/>
      <c r="G6" s="87"/>
      <c r="H6" s="1" t="s">
        <v>27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1.0519461567118848</v>
      </c>
      <c r="E7" s="11" t="str">
        <f>Dashboard!H3</f>
        <v>HKD</v>
      </c>
      <c r="H7" s="1" t="s">
        <v>28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5523</v>
      </c>
      <c r="J12" s="87"/>
      <c r="K12" s="24"/>
    </row>
    <row r="13" spans="1:11" ht="13.9" x14ac:dyDescent="0.4">
      <c r="B13" s="3" t="s">
        <v>114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5523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52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53</v>
      </c>
      <c r="I25" s="63">
        <f>E28/I28</f>
        <v>2.2266181827238594</v>
      </c>
    </row>
    <row r="26" spans="2:10" ht="15" customHeight="1" x14ac:dyDescent="0.4">
      <c r="B26" s="23" t="s">
        <v>54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55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57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61</v>
      </c>
      <c r="I31" s="40">
        <f>Inputs!C79</f>
        <v>2115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2115</v>
      </c>
      <c r="J34" s="87"/>
    </row>
    <row r="35" spans="2:10" ht="13.9" x14ac:dyDescent="0.4">
      <c r="B35" s="3" t="s">
        <v>67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78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80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82</v>
      </c>
      <c r="I48" s="207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83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45613</v>
      </c>
      <c r="D53" s="29">
        <f>IF(E53=0, 0,E53/C53)</f>
        <v>1.5572283958753168</v>
      </c>
      <c r="E53" s="88">
        <f>IF(C53=0,0,MAX(C53,C53*Dashboard!G23))</f>
        <v>71029.858821060829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7638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4">
      <c r="B75" s="104" t="s">
        <v>103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4">
      <c r="B76" s="35" t="s">
        <v>93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4">
      <c r="B77" s="104" t="s">
        <v>243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4">
      <c r="B78" s="73" t="s">
        <v>168</v>
      </c>
      <c r="C78" s="77">
        <f>MAX(Data!C12,0)</f>
        <v>3760.2523659305994</v>
      </c>
      <c r="D78" s="159">
        <f>C78/$C$74</f>
        <v>9.8097105597332122E-4</v>
      </c>
      <c r="E78" s="180">
        <f>E74*F78</f>
        <v>3760.2523659305989</v>
      </c>
      <c r="F78" s="160">
        <f>I78</f>
        <v>9.8097105597332122E-4</v>
      </c>
      <c r="H78" s="238">
        <f>Inputs!F97</f>
        <v>3760.2523659305989</v>
      </c>
      <c r="I78" s="160">
        <f>H78/$H$74</f>
        <v>9.8097105597332122E-4</v>
      </c>
      <c r="K78" s="24"/>
    </row>
    <row r="79" spans="1:11" ht="15" customHeight="1" x14ac:dyDescent="0.4">
      <c r="B79" s="256" t="s">
        <v>228</v>
      </c>
      <c r="C79" s="257">
        <f>C76-C77-C78</f>
        <v>469579.74763406941</v>
      </c>
      <c r="D79" s="258">
        <f>C79/C74</f>
        <v>0.12250351733673522</v>
      </c>
      <c r="E79" s="259">
        <f>E76-E77-E78</f>
        <v>469579.74763406941</v>
      </c>
      <c r="F79" s="258">
        <f>E79/E74</f>
        <v>0.12250351733673522</v>
      </c>
      <c r="G79" s="260"/>
      <c r="H79" s="259">
        <f>H76-H77-H78</f>
        <v>469579.74763406941</v>
      </c>
      <c r="I79" s="258">
        <f>H79/H74</f>
        <v>0.12250351733673522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252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4">
      <c r="B82" s="28" t="s">
        <v>242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38331.94</v>
      </c>
      <c r="F82" s="160">
        <f>E82/E74</f>
        <v>0.01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187336.74763406941</v>
      </c>
      <c r="D83" s="164">
        <f>C83/$C$74</f>
        <v>4.8872232303940111E-2</v>
      </c>
      <c r="E83" s="165">
        <f>E79-E81-E82-E80</f>
        <v>430977.80763406941</v>
      </c>
      <c r="F83" s="164">
        <f>E83/E74</f>
        <v>0.11243307999388223</v>
      </c>
      <c r="H83" s="165">
        <f>H79-H81-H82-H80</f>
        <v>469309.74763406941</v>
      </c>
      <c r="I83" s="164">
        <f>H83/$H$74</f>
        <v>0.12243307999388223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0.20750000000000002</v>
      </c>
      <c r="E84" s="212"/>
      <c r="F84" s="179">
        <f t="shared" ref="F84" si="3">I84</f>
        <v>0.20750000000000002</v>
      </c>
      <c r="H84" s="212"/>
      <c r="I84" s="202">
        <f>Inputs!C16</f>
        <v>0.20750000000000002</v>
      </c>
      <c r="K84" s="24"/>
    </row>
    <row r="85" spans="1:11" ht="15" customHeight="1" x14ac:dyDescent="0.4">
      <c r="B85" s="263" t="s">
        <v>160</v>
      </c>
      <c r="C85" s="257">
        <f>C83*(1-I84)</f>
        <v>148464.3725</v>
      </c>
      <c r="D85" s="258">
        <f>C85/$C$74</f>
        <v>3.8731244100872537E-2</v>
      </c>
      <c r="E85" s="264">
        <f>E83*(1-F84)</f>
        <v>341549.91255000001</v>
      </c>
      <c r="F85" s="258">
        <f>E85/E74</f>
        <v>8.9103215895151675E-2</v>
      </c>
      <c r="G85" s="260"/>
      <c r="H85" s="264">
        <f>H83*(1-I84)</f>
        <v>371927.97499999998</v>
      </c>
      <c r="I85" s="258">
        <f>H85/$H$74</f>
        <v>9.7028215895151662E-2</v>
      </c>
      <c r="K85" s="24"/>
    </row>
    <row r="86" spans="1:11" ht="15" customHeight="1" x14ac:dyDescent="0.4">
      <c r="B86" s="87" t="s">
        <v>156</v>
      </c>
      <c r="C86" s="167">
        <f>C85*Data!C4/Common_Shares</f>
        <v>0.14224929047039839</v>
      </c>
      <c r="D86" s="209"/>
      <c r="E86" s="168">
        <f>E85*Data!C4/Common_Shares</f>
        <v>0.32725179719776959</v>
      </c>
      <c r="F86" s="209"/>
      <c r="H86" s="168">
        <f>H85*Data!C4/Common_Shares</f>
        <v>0.35635815959712541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2.6005354747787642E-2</v>
      </c>
      <c r="D87" s="209"/>
      <c r="E87" s="262">
        <f>E86*Exchange_Rate/Dashboard!G3</f>
        <v>5.9826653966685482E-2</v>
      </c>
      <c r="F87" s="209"/>
      <c r="H87" s="262">
        <f>H86*Exchange_Rate/Dashboard!G3</f>
        <v>6.5147743984849252E-2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0.15820000000000001</v>
      </c>
      <c r="D88" s="166">
        <f>C88/C86</f>
        <v>1.1121320849956782</v>
      </c>
      <c r="E88" s="170">
        <f>Inputs!E98</f>
        <v>0.15820000000000001</v>
      </c>
      <c r="F88" s="166">
        <f>E88/E86</f>
        <v>0.48341980503897514</v>
      </c>
      <c r="H88" s="170">
        <f>Inputs!F98</f>
        <v>0.15820000000000001</v>
      </c>
      <c r="I88" s="166">
        <f>H88/H86</f>
        <v>0.44393539403966586</v>
      </c>
      <c r="K88" s="24"/>
    </row>
    <row r="89" spans="1:11" ht="15" customHeight="1" x14ac:dyDescent="0.4">
      <c r="B89" s="87" t="s">
        <v>217</v>
      </c>
      <c r="C89" s="261">
        <f>C88*Exchange_Rate/Dashboard!G3</f>
        <v>2.8921389396709327E-2</v>
      </c>
      <c r="D89" s="209"/>
      <c r="E89" s="261">
        <f>E88*Exchange_Rate/Dashboard!G3</f>
        <v>2.8921389396709327E-2</v>
      </c>
      <c r="F89" s="209"/>
      <c r="H89" s="261">
        <f>H88*Exchange_Rate/Dashboard!G3</f>
        <v>2.8921389396709327E-2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CN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205</v>
      </c>
      <c r="F93" s="144">
        <f>FV(E87,D93,0,-(E86/(C93-D94)))*Exchange_Rate</f>
        <v>6.6049623353526243</v>
      </c>
      <c r="H93" s="87" t="s">
        <v>205</v>
      </c>
      <c r="I93" s="144">
        <f>FV(H87,D93,0,-(H86/(C93-D94)))*Exchange_Rate</f>
        <v>7.3747972325364675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2.7537947908805083</v>
      </c>
      <c r="H94" s="87" t="s">
        <v>206</v>
      </c>
      <c r="I94" s="144">
        <f>FV(H89,D93,0,-(H88/(C93-D94)))*Exchange_Rate</f>
        <v>2.7537947908805083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3826775.8139432375</v>
      </c>
      <c r="D97" s="213"/>
      <c r="E97" s="123">
        <f>PV(C94,D93,0,-F93)</f>
        <v>3.2838336106587862</v>
      </c>
      <c r="F97" s="213"/>
      <c r="H97" s="123">
        <f>PV(C94,D93,0,-I93)</f>
        <v>3.6665776115593443</v>
      </c>
      <c r="I97" s="123">
        <f>PV(C93,D93,0,-I93)</f>
        <v>4.8764203700253175</v>
      </c>
      <c r="K97" s="24"/>
    </row>
    <row r="98" spans="2:11" ht="15" customHeight="1" x14ac:dyDescent="0.4">
      <c r="B98" s="28" t="s">
        <v>141</v>
      </c>
      <c r="C98" s="91">
        <f>-E53*Exchange_Rate</f>
        <v>-71029.858821060829</v>
      </c>
      <c r="D98" s="213"/>
      <c r="E98" s="213"/>
      <c r="F98" s="213"/>
      <c r="H98" s="123">
        <f>C98*Data!$C$4/Common_Shares</f>
        <v>-6.8056375070783201E-2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4924683.0551221762</v>
      </c>
      <c r="D100" s="109">
        <f>MIN(F100*(1-C94),E100)</f>
        <v>3.7766788412466625</v>
      </c>
      <c r="E100" s="109">
        <f>MAX(E97+H98+E99,0)</f>
        <v>4.1677793876032707</v>
      </c>
      <c r="F100" s="109">
        <f>(E100+H100)/2</f>
        <v>4.4431515779372504</v>
      </c>
      <c r="H100" s="109">
        <f>MAX(C100*Data!$C$4/Common_Shares,0)</f>
        <v>4.7185237682712291</v>
      </c>
      <c r="I100" s="109">
        <f>MAX(I97+H98+H99,0)</f>
        <v>5.9283665267372028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1428941.7010425301</v>
      </c>
      <c r="D103" s="109">
        <f>MIN(F103*(1-C94),E103)</f>
        <v>1.1637542982396967</v>
      </c>
      <c r="E103" s="123">
        <f>PV(C94,D93,0,-F94)</f>
        <v>1.369122703811408</v>
      </c>
      <c r="F103" s="109">
        <f>(E103+H103)/2</f>
        <v>1.369122703811408</v>
      </c>
      <c r="H103" s="123">
        <f>PV(C94,D93,0,-I94)</f>
        <v>1.369122703811408</v>
      </c>
      <c r="I103" s="109">
        <f>PV(C93,D93,0,-I94)</f>
        <v>1.820885454839916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2889408.7692018407</v>
      </c>
      <c r="D106" s="109">
        <f>(D100+D103)/2</f>
        <v>2.4702165697431795</v>
      </c>
      <c r="E106" s="123">
        <f>(E100+E103)/2</f>
        <v>2.7684510457073395</v>
      </c>
      <c r="F106" s="109">
        <f>(F100+F103)/2</f>
        <v>2.9061371408743293</v>
      </c>
      <c r="H106" s="123">
        <f>(H100+H103)/2</f>
        <v>3.0438232360413187</v>
      </c>
      <c r="I106" s="123">
        <f>(I100+I103)/2</f>
        <v>3.8746259907885596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