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AA6D67-B0C5-4C9A-B386-0AE5B0829D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E95" i="4" l="1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K53" i="2"/>
  <c r="L50" i="2"/>
  <c r="G53" i="2"/>
  <c r="H50" i="2"/>
  <c r="E53" i="2"/>
  <c r="F50" i="2"/>
  <c r="F53" i="2"/>
  <c r="G50" i="2"/>
  <c r="J53" i="2"/>
  <c r="K50" i="2"/>
  <c r="C53" i="2"/>
  <c r="D53" i="2"/>
  <c r="E50" i="2"/>
  <c r="H53" i="2"/>
  <c r="I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<sst xmlns="http://schemas.openxmlformats.org/spreadsheetml/2006/main" count="393" uniqueCount="275">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</sst>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99161076038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9.7112540569128825E-2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102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241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249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202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1658.HK</v>
      </c>
      <c r="D3" s="282"/>
      <c r="E3" s="87"/>
      <c r="F3" s="3" t="s">
        <v>1</v>
      </c>
      <c r="G3" s="132">
        <v>4.5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邮储银行</v>
      </c>
      <c r="D4" s="284"/>
      <c r="E4" s="87"/>
      <c r="F4" s="3" t="s">
        <v>2</v>
      </c>
      <c r="G4" s="287">
        <f>Inputs!C10</f>
        <v>99161076038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45606</v>
      </c>
      <c r="D5" s="286"/>
      <c r="E5" s="34"/>
      <c r="F5" s="35" t="s">
        <v>96</v>
      </c>
      <c r="G5" s="279">
        <f>G3*G4/1000000</f>
        <v>446224.84217100003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8.9217754367700408E-2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3.7371996362297238E-4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0.39408770164042439</v>
      </c>
      <c r="F24" s="140" t="s">
        <v>251</v>
      </c>
      <c r="G24" s="268">
        <f>G3/(Fin_Analysis!H86*G7)</f>
        <v>9.5049891478506918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0.58947149778314767</v>
      </c>
    </row>
    <row r="26" spans="1:8" ht="15.75" customHeight="1" x14ac:dyDescent="0.4">
      <c r="B26" s="138" t="s">
        <v>168</v>
      </c>
      <c r="C26" s="171">
        <f>Fin_Analysis!I83</f>
        <v>0.10654780430421051</v>
      </c>
      <c r="F26" s="141" t="s">
        <v>188</v>
      </c>
      <c r="G26" s="178">
        <f>Fin_Analysis!H88*Exchange_Rate/G3</f>
        <v>6.2017061630884815E-2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2.4050549862494126</v>
      </c>
      <c r="D29" s="129">
        <f>G29*(1+G20)</f>
        <v>4.3275707737899411</v>
      </c>
      <c r="E29" s="87"/>
      <c r="F29" s="131">
        <f>IF(Fin_Analysis!C108="Profit",Fin_Analysis!F100,IF(Fin_Analysis!C108="Dividend",Fin_Analysis!F103,Fin_Analysis!F106))</f>
        <v>2.8294764544110738</v>
      </c>
      <c r="G29" s="278">
        <f>IF(Fin_Analysis!C108="Profit",Fin_Analysis!I100,IF(Fin_Analysis!C108="Dividend",Fin_Analysis!I103,Fin_Analysis!I106))</f>
        <v>3.7631050206869059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3.6986937855166198</v>
      </c>
      <c r="D57" s="153">
        <f t="shared" si="47"/>
        <v>3.4687408158678745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102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92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167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227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155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0.1052079054952024</v>
      </c>
      <c r="D87" s="209"/>
      <c r="E87" s="262">
        <f>E86*Exchange_Rate/Dashboard!G3</f>
        <v>0.1052079054952024</v>
      </c>
      <c r="F87" s="209"/>
      <c r="H87" s="262">
        <f>H86*Exchange_Rate/Dashboard!G3</f>
        <v>0.1052079054952024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216</v>
      </c>
      <c r="C89" s="261">
        <f>C88*Exchange_Rate/Dashboard!G3</f>
        <v>9.7112540569128825E-2</v>
      </c>
      <c r="D89" s="209"/>
      <c r="E89" s="261">
        <f>E88*Exchange_Rate/Dashboard!G3</f>
        <v>6.2017061630884815E-2</v>
      </c>
      <c r="F89" s="209"/>
      <c r="H89" s="261">
        <f>H88*Exchange_Rate/Dashboard!G3</f>
        <v>6.2017061630884815E-2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11.784059305822062</v>
      </c>
      <c r="H93" s="87" t="s">
        <v>204</v>
      </c>
      <c r="I93" s="144">
        <f>FV(H87,D93,0,-(H86/(C93-D94)))*Exchange_Rate</f>
        <v>11.784059305822062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5.6910878034417278</v>
      </c>
      <c r="H94" s="87" t="s">
        <v>205</v>
      </c>
      <c r="I94" s="144">
        <f>FV(H89,D93,0,-(H88/(C93-D94)))*Exchange_Rate</f>
        <v>5.6910878034417278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580960.95915878855</v>
      </c>
      <c r="D97" s="213"/>
      <c r="E97" s="123">
        <f>PV(C94,D93,0,-F93)</f>
        <v>5.858760134230045</v>
      </c>
      <c r="F97" s="213"/>
      <c r="H97" s="123">
        <f>PV(C94,D93,0,-I93)</f>
        <v>5.858760134230045</v>
      </c>
      <c r="I97" s="123">
        <f>PV(C93,D93,0,-I93)</f>
        <v>7.7919466838999565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580960.95915878855</v>
      </c>
      <c r="D100" s="109">
        <f>MIN(F100*(1-C94),E100)</f>
        <v>4.9799461140955383</v>
      </c>
      <c r="E100" s="109">
        <f>MAX(E97+H98+E99,0)</f>
        <v>5.858760134230045</v>
      </c>
      <c r="F100" s="109">
        <f>(E100+H100)/2</f>
        <v>5.858760134230045</v>
      </c>
      <c r="H100" s="109">
        <f>MAX(C100*Data!$C$4/Common_Shares,0)</f>
        <v>5.858760134230045</v>
      </c>
      <c r="I100" s="109">
        <f>MAX(I97+H98+H99,0)</f>
        <v>7.7919466838999565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280573.9298435871</v>
      </c>
      <c r="D103" s="109">
        <f>MIN(F103*(1-C94),E103)</f>
        <v>2.4050549862494126</v>
      </c>
      <c r="E103" s="123">
        <f>PV(C94,D93,0,-F94)</f>
        <v>2.8294764544110738</v>
      </c>
      <c r="F103" s="109">
        <f>(E103+H103)/2</f>
        <v>2.8294764544110738</v>
      </c>
      <c r="H103" s="123">
        <f>PV(C94,D93,0,-I94)</f>
        <v>2.8294764544110738</v>
      </c>
      <c r="I103" s="109">
        <f>PV(C93,D93,0,-I94)</f>
        <v>3.7631050206869059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430767.44450118783</v>
      </c>
      <c r="D106" s="109">
        <f>(D100+D103)/2</f>
        <v>3.6925005501724755</v>
      </c>
      <c r="E106" s="123">
        <f>(E100+E103)/2</f>
        <v>4.344118294320559</v>
      </c>
      <c r="F106" s="109">
        <f>(F100+F103)/2</f>
        <v>4.344118294320559</v>
      </c>
      <c r="H106" s="123">
        <f>(H100+H103)/2</f>
        <v>4.344118294320559</v>
      </c>
      <c r="I106" s="123">
        <f>(I100+I103)/2</f>
        <v>5.7775258522934312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