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B2F5CEB-3164-4691-B1F7-33CF696A7BB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7" i="3"/>
  <c r="M53" i="2"/>
  <c r="F95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E53" i="2"/>
  <c r="F50" i="2"/>
  <c r="F53" i="2"/>
  <c r="G50" i="2"/>
  <c r="D53" i="2"/>
  <c r="E50" i="2"/>
  <c r="K53" i="2"/>
  <c r="L50" i="2"/>
  <c r="I53" i="2"/>
  <c r="J50" i="2"/>
  <c r="G53" i="2"/>
  <c r="H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D22" i="2"/>
  <c r="D61" i="2" s="1"/>
  <c r="D60" i="2"/>
  <c r="L15" i="2"/>
  <c r="M60" i="2"/>
  <c r="E22" i="2"/>
  <c r="E61" i="2" s="1"/>
  <c r="E60" i="2"/>
  <c r="F22" i="2"/>
  <c r="F61" i="2" s="1"/>
  <c r="F60" i="2"/>
  <c r="K15" i="2"/>
  <c r="L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L13" i="2"/>
  <c r="L59" i="2" s="1"/>
  <c r="E40" i="2"/>
  <c r="G13" i="2"/>
  <c r="G59" i="2" s="1"/>
  <c r="D40" i="2"/>
  <c r="D13" i="2"/>
  <c r="D59" i="2" s="1"/>
  <c r="G40" i="2"/>
  <c r="K56" i="2"/>
  <c r="L24" i="2"/>
  <c r="L23" i="2" s="1"/>
  <c r="M57" i="2"/>
  <c r="M56" i="2"/>
  <c r="K59" i="2" l="1"/>
  <c r="E57" i="2"/>
  <c r="G57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37" i="2"/>
  <c r="C55" i="2" s="1"/>
  <c r="C61" i="2" l="1"/>
  <c r="C60" i="2"/>
  <c r="C59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<sst xmlns="http://schemas.openxmlformats.org/spreadsheetml/2006/main" count="393" uniqueCount="275">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</sst>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266</v>
      </c>
    </row>
    <row r="5" spans="1:5" ht="13.9" x14ac:dyDescent="0.4">
      <c r="B5" s="141" t="s">
        <v>190</v>
      </c>
      <c r="C5" s="191" t="s">
        <v>267</v>
      </c>
    </row>
    <row r="6" spans="1:5" ht="13.9" x14ac:dyDescent="0.4">
      <c r="B6" s="141" t="s">
        <v>158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28698864088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249</v>
      </c>
      <c r="C15" s="176" t="s">
        <v>253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271</v>
      </c>
      <c r="D19" s="24"/>
    </row>
    <row r="20" spans="2:13" ht="13.9" x14ac:dyDescent="0.4">
      <c r="B20" s="241" t="s">
        <v>223</v>
      </c>
      <c r="C20" s="242" t="s">
        <v>271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250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257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246</v>
      </c>
      <c r="C45" s="152">
        <f>IF(C44="","",C44*Exchange_Rate/Dashboard!$G$3)</f>
        <v>4.6288297977970454E-2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47742240</v>
      </c>
      <c r="D48" s="60">
        <v>0.9</v>
      </c>
      <c r="E48" s="112"/>
    </row>
    <row r="49" spans="2:5" ht="13.9" x14ac:dyDescent="0.4">
      <c r="B49" s="1" t="s">
        <v>131</v>
      </c>
      <c r="C49" s="59">
        <v>0</v>
      </c>
      <c r="D49" s="60">
        <v>0.8</v>
      </c>
      <c r="E49" s="112"/>
    </row>
    <row r="50" spans="2:5" ht="13.9" x14ac:dyDescent="0.4">
      <c r="B50" s="3" t="s">
        <v>113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7768559</v>
      </c>
      <c r="D51" s="60">
        <v>0.6</v>
      </c>
      <c r="E51" s="112"/>
    </row>
    <row r="52" spans="2:5" ht="13.9" x14ac:dyDescent="0.4">
      <c r="B52" s="3" t="s">
        <v>40</v>
      </c>
      <c r="C52" s="59">
        <v>0</v>
      </c>
      <c r="D52" s="60">
        <v>0.5</v>
      </c>
      <c r="E52" s="112"/>
    </row>
    <row r="53" spans="2:5" ht="13.9" x14ac:dyDescent="0.4">
      <c r="B53" s="1" t="s">
        <v>153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255</v>
      </c>
      <c r="C54" s="59">
        <v>44533603</v>
      </c>
      <c r="D54" s="60">
        <v>0.1</v>
      </c>
      <c r="E54" s="112"/>
    </row>
    <row r="55" spans="2:5" ht="13.9" x14ac:dyDescent="0.4">
      <c r="B55" s="3" t="s">
        <v>43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>
        <v>0</v>
      </c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47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154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254</v>
      </c>
      <c r="C64" s="59">
        <v>7301425</v>
      </c>
      <c r="D64" s="60">
        <v>0.4</v>
      </c>
      <c r="E64" s="112"/>
    </row>
    <row r="65" spans="2:5" ht="13.9" x14ac:dyDescent="0.4">
      <c r="B65" s="3" t="s">
        <v>66</v>
      </c>
      <c r="C65" s="59">
        <v>21620835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805212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6765810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17178235</v>
      </c>
      <c r="D70" s="60">
        <v>0.05</v>
      </c>
      <c r="E70" s="112"/>
    </row>
    <row r="71" spans="2:5" ht="13.9" x14ac:dyDescent="0.4">
      <c r="B71" s="3" t="s">
        <v>71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37623092</v>
      </c>
      <c r="D72" s="248">
        <v>0</v>
      </c>
      <c r="E72" s="249"/>
    </row>
    <row r="73" spans="2:5" ht="13.9" x14ac:dyDescent="0.4">
      <c r="B73" s="3" t="s">
        <v>35</v>
      </c>
      <c r="C73" s="59">
        <v>12970041</v>
      </c>
    </row>
    <row r="74" spans="2:5" ht="13.9" x14ac:dyDescent="0.4">
      <c r="B74" s="3" t="s">
        <v>36</v>
      </c>
      <c r="C74" s="59">
        <v>13416</v>
      </c>
    </row>
    <row r="75" spans="2:5" ht="13.9" x14ac:dyDescent="0.4">
      <c r="B75" s="3" t="s">
        <v>37</v>
      </c>
      <c r="C75" s="59">
        <v>0</v>
      </c>
    </row>
    <row r="76" spans="2:5" ht="13.9" x14ac:dyDescent="0.4">
      <c r="B76" s="86" t="s">
        <v>39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58</v>
      </c>
      <c r="C78" s="59">
        <v>6315552</v>
      </c>
    </row>
    <row r="79" spans="2:5" ht="13.9" x14ac:dyDescent="0.4">
      <c r="B79" s="3" t="s">
        <v>60</v>
      </c>
      <c r="C79" s="59">
        <v>1694399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24023311</v>
      </c>
    </row>
    <row r="83" spans="2:8" ht="14.25" thickTop="1" x14ac:dyDescent="0.4">
      <c r="B83" s="73" t="s">
        <v>215</v>
      </c>
      <c r="C83" s="59">
        <v>160389894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102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242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250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241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202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1766.HK</v>
      </c>
      <c r="D3" s="282"/>
      <c r="E3" s="87"/>
      <c r="F3" s="3" t="s">
        <v>1</v>
      </c>
      <c r="G3" s="132">
        <v>4.62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中国中车</v>
      </c>
      <c r="D4" s="284"/>
      <c r="E4" s="87"/>
      <c r="F4" s="3" t="s">
        <v>2</v>
      </c>
      <c r="G4" s="287">
        <f>Inputs!C10</f>
        <v>28698864088</v>
      </c>
      <c r="H4" s="287"/>
      <c r="I4" s="39"/>
    </row>
    <row r="5" spans="1:10" ht="15.75" customHeight="1" x14ac:dyDescent="0.4">
      <c r="B5" s="3" t="s">
        <v>158</v>
      </c>
      <c r="C5" s="285">
        <f>Inputs!C6</f>
        <v>45593</v>
      </c>
      <c r="D5" s="286"/>
      <c r="E5" s="34"/>
      <c r="F5" s="35" t="s">
        <v>96</v>
      </c>
      <c r="G5" s="279">
        <f>G3*G4/1000000</f>
        <v>132588.75208656001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0.78463553343209413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1.2515926965280349E-5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0.62029222057618039</v>
      </c>
    </row>
    <row r="24" spans="1:8" ht="15.75" customHeight="1" x14ac:dyDescent="0.4">
      <c r="B24" s="137" t="s">
        <v>165</v>
      </c>
      <c r="C24" s="171">
        <f>Fin_Analysis!I81</f>
        <v>0</v>
      </c>
      <c r="F24" s="140" t="s">
        <v>252</v>
      </c>
      <c r="G24" s="268">
        <f>G3/(Fin_Analysis!H86*G7)</f>
        <v>12.795732728082077</v>
      </c>
    </row>
    <row r="25" spans="1:8" ht="15.75" customHeight="1" x14ac:dyDescent="0.4">
      <c r="B25" s="137" t="s">
        <v>238</v>
      </c>
      <c r="C25" s="171">
        <f>Fin_Analysis!I82</f>
        <v>8.8200573996119572E-5</v>
      </c>
      <c r="F25" s="140" t="s">
        <v>169</v>
      </c>
      <c r="G25" s="171">
        <f>Fin_Analysis!I88</f>
        <v>0.59229268936393198</v>
      </c>
    </row>
    <row r="26" spans="1:8" ht="15.75" customHeight="1" x14ac:dyDescent="0.4">
      <c r="B26" s="138" t="s">
        <v>168</v>
      </c>
      <c r="C26" s="171">
        <f>Fin_Analysis!I83</f>
        <v>5.5156426590839844E-2</v>
      </c>
      <c r="F26" s="141" t="s">
        <v>188</v>
      </c>
      <c r="G26" s="178">
        <f>Fin_Analysis!H88*Exchange_Rate/G3</f>
        <v>4.6288297977970454E-2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251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1.7104637289778475</v>
      </c>
      <c r="D29" s="129">
        <f>G29*(1+G20)</f>
        <v>3.0777478625117234</v>
      </c>
      <c r="E29" s="87"/>
      <c r="F29" s="131">
        <f>IF(Fin_Analysis!C108="Profit",Fin_Analysis!F100,IF(Fin_Analysis!C108="Dividend",Fin_Analysis!F103,Fin_Analysis!F106))</f>
        <v>2.0123102693857029</v>
      </c>
      <c r="G29" s="278">
        <f>IF(Fin_Analysis!C108="Profit",Fin_Analysis!I100,IF(Fin_Analysis!C108="Dividend",Fin_Analysis!I103,Fin_Analysis!I106))</f>
        <v>2.6763024891406291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250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261</v>
      </c>
      <c r="C50" s="272">
        <f>IF(C6="","",C6/C39)</f>
        <v>0.58880514964961994</v>
      </c>
      <c r="D50" s="272">
        <f t="shared" ref="D50:M50" si="41">IF(D6="","",D6/D39)</f>
        <v>314.21138998587776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0.51922053231500931</v>
      </c>
      <c r="D51" s="153">
        <f t="shared" si="42"/>
        <v>0.58886323504346172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0.36796930715644566</v>
      </c>
      <c r="D52" s="153">
        <f t="shared" si="43"/>
        <v>0.29985264510251758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256</v>
      </c>
      <c r="C53" s="153">
        <f>IF(D6="","",C16/(C6-D6))</f>
        <v>-1.4950263965598143E-2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262</v>
      </c>
      <c r="C55" s="156">
        <f>IF(C36="","",(C36-C37)/C27)</f>
        <v>0.33449411843768651</v>
      </c>
      <c r="D55" s="156">
        <f t="shared" ref="D55:M55" si="45">IF(D36="","",(D36-D37)/D27)</f>
        <v>0.78735209922197424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0.61519693591548208</v>
      </c>
      <c r="D56" s="157">
        <f t="shared" si="46"/>
        <v>2712.0275671120739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1.250490989804119</v>
      </c>
      <c r="D58" s="158">
        <f t="shared" si="48"/>
        <v>4.3002657471877468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263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>Error</v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264</v>
      </c>
      <c r="C60" s="274">
        <f>IF(C14="","",C14/(C36-C37))</f>
        <v>8.0688936673279421E-2</v>
      </c>
      <c r="D60" s="274">
        <f t="shared" ref="D60:M60" si="50">IF(D14="","",D14/(D36-D37))</f>
        <v>16.000637496357289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265</v>
      </c>
      <c r="C61" s="274">
        <f>IF(C22="","",C22/(C36-C37))</f>
        <v>8.0560113095404881E-2</v>
      </c>
      <c r="D61" s="274">
        <f t="shared" ref="D61:M61" si="51">IF(D22="","",D22/(D36-D37))</f>
        <v>15.993358821355844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160389894</v>
      </c>
      <c r="K3" s="24"/>
    </row>
    <row r="4" spans="1:11" ht="15" customHeight="1" x14ac:dyDescent="0.4">
      <c r="B4" s="3" t="s">
        <v>23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1.250490989804119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-131620258</v>
      </c>
      <c r="E6" s="56">
        <f>1-D6/D3</f>
        <v>1.6584087306647404</v>
      </c>
      <c r="F6" s="87"/>
      <c r="G6" s="87"/>
      <c r="H6" s="1" t="s">
        <v>26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35</v>
      </c>
      <c r="I11" s="40">
        <f>Inputs!C73</f>
        <v>12970041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13416</v>
      </c>
      <c r="J12" s="87"/>
      <c r="K12" s="24"/>
    </row>
    <row r="13" spans="1:11" ht="13.9" x14ac:dyDescent="0.4">
      <c r="B13" s="3" t="s">
        <v>113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39</v>
      </c>
      <c r="I14" s="205">
        <f>Inputs!C76</f>
        <v>9668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12993125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41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51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52</v>
      </c>
      <c r="I25" s="63">
        <f>E28/I28</f>
        <v>0.66028306373286705</v>
      </c>
    </row>
    <row r="26" spans="2:10" ht="15" customHeight="1" x14ac:dyDescent="0.4">
      <c r="B26" s="23" t="s">
        <v>53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54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56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6315552</v>
      </c>
      <c r="J30" s="87"/>
    </row>
    <row r="31" spans="2:10" ht="15" customHeight="1" x14ac:dyDescent="0.4">
      <c r="B31" s="3" t="s">
        <v>59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60</v>
      </c>
      <c r="I31" s="40">
        <f>Inputs!C79</f>
        <v>1694399</v>
      </c>
      <c r="J31" s="87"/>
    </row>
    <row r="32" spans="2:10" ht="15" customHeight="1" x14ac:dyDescent="0.4">
      <c r="B32" s="3" t="s">
        <v>61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74</v>
      </c>
      <c r="I34" s="84">
        <f>SUM(I30:I33)</f>
        <v>8009951</v>
      </c>
      <c r="J34" s="87"/>
    </row>
    <row r="35" spans="2:10" ht="13.9" x14ac:dyDescent="0.4">
      <c r="B35" s="3" t="s">
        <v>66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77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79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81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82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21003076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102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92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167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227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250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241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121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155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7.8151054046741386E-2</v>
      </c>
      <c r="D87" s="209"/>
      <c r="E87" s="262">
        <f>E86*Exchange_Rate/Dashboard!G3</f>
        <v>7.8151054046741386E-2</v>
      </c>
      <c r="F87" s="209"/>
      <c r="H87" s="262">
        <f>H86*Exchange_Rate/Dashboard!G3</f>
        <v>7.8151054046741386E-2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216</v>
      </c>
      <c r="C89" s="261">
        <f>C88*Exchange_Rate/Dashboard!G3</f>
        <v>4.6288297977970454E-2</v>
      </c>
      <c r="D89" s="209"/>
      <c r="E89" s="261">
        <f>E88*Exchange_Rate/Dashboard!G3</f>
        <v>4.6288297977970454E-2</v>
      </c>
      <c r="F89" s="209"/>
      <c r="H89" s="261">
        <f>H88*Exchange_Rate/Dashboard!G3</f>
        <v>4.6288297977970454E-2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7.9394239287739516</v>
      </c>
      <c r="H93" s="87" t="s">
        <v>204</v>
      </c>
      <c r="I93" s="144">
        <f>FV(H87,D93,0,-(H86/(C93-D94)))*Exchange_Rate</f>
        <v>7.9394239287739516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4.0474747238089934</v>
      </c>
      <c r="H94" s="87" t="s">
        <v>205</v>
      </c>
      <c r="I94" s="144">
        <f>FV(H89,D93,0,-(H88/(C93-D94)))*Exchange_Rate</f>
        <v>4.0474747238089934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113282936.36005351</v>
      </c>
      <c r="D97" s="213"/>
      <c r="E97" s="123">
        <f>PV(C94,D93,0,-F93)</f>
        <v>3.9472968690569559</v>
      </c>
      <c r="F97" s="213"/>
      <c r="H97" s="123">
        <f>PV(C94,D93,0,-I93)</f>
        <v>3.9472968690569559</v>
      </c>
      <c r="I97" s="123">
        <f>PV(C93,D93,0,-I93)</f>
        <v>5.2497671938329171</v>
      </c>
      <c r="K97" s="24"/>
    </row>
    <row r="98" spans="2:11" ht="15" customHeight="1" x14ac:dyDescent="0.4">
      <c r="B98" s="28" t="s">
        <v>140</v>
      </c>
      <c r="C98" s="91">
        <f>-E53*Exchange_Rate</f>
        <v>-42253632.304124713</v>
      </c>
      <c r="D98" s="213"/>
      <c r="E98" s="213"/>
      <c r="F98" s="213"/>
      <c r="H98" s="123">
        <f>C98*Data!$C$4/Common_Shares</f>
        <v>-1.4723102689556424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71029304.055928797</v>
      </c>
      <c r="D100" s="109">
        <f>MIN(F100*(1-C94),E100)</f>
        <v>2.1037386100861162</v>
      </c>
      <c r="E100" s="109">
        <f>MAX(E97+H98+E99,0)</f>
        <v>2.4749866001013134</v>
      </c>
      <c r="F100" s="109">
        <f>(E100+H100)/2</f>
        <v>2.4749866001013134</v>
      </c>
      <c r="H100" s="109">
        <f>MAX(C100*Data!$C$4/Common_Shares,0)</f>
        <v>2.4749866001013134</v>
      </c>
      <c r="I100" s="109">
        <f>MAX(I97+H98+H99,0)</f>
        <v>3.7774569248772747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57751018.923986956</v>
      </c>
      <c r="D103" s="109">
        <f>MIN(F103*(1-C94),E103)</f>
        <v>1.7104637289778475</v>
      </c>
      <c r="E103" s="123">
        <f>PV(C94,D93,0,-F94)</f>
        <v>2.0123102693857029</v>
      </c>
      <c r="F103" s="109">
        <f>(E103+H103)/2</f>
        <v>2.0123102693857029</v>
      </c>
      <c r="H103" s="123">
        <f>PV(C94,D93,0,-I94)</f>
        <v>2.0123102693857029</v>
      </c>
      <c r="I103" s="109">
        <f>PV(C93,D93,0,-I94)</f>
        <v>2.6763024891406291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64390161.489957877</v>
      </c>
      <c r="D106" s="109">
        <f>(D100+D103)/2</f>
        <v>1.9071011695319817</v>
      </c>
      <c r="E106" s="123">
        <f>(E100+E103)/2</f>
        <v>2.2436484347435082</v>
      </c>
      <c r="F106" s="109">
        <f>(F100+F103)/2</f>
        <v>2.2436484347435082</v>
      </c>
      <c r="H106" s="123">
        <f>(H100+H103)/2</f>
        <v>2.2436484347435082</v>
      </c>
      <c r="I106" s="123">
        <f>(I100+I103)/2</f>
        <v>3.2268797070089521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