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26BA66-7031-46FE-85B0-A8DFE88504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B7" i="3"/>
  <c r="M53" i="2"/>
  <c r="F95" i="4" l="1"/>
  <c r="E92" i="4"/>
  <c r="F97" i="4"/>
  <c r="F93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H53" i="2"/>
  <c r="I50" i="2"/>
  <c r="K53" i="2"/>
  <c r="L50" i="2"/>
  <c r="J53" i="2"/>
  <c r="K50" i="2"/>
  <c r="E53" i="2"/>
  <c r="D53" i="2"/>
  <c r="I53" i="2"/>
  <c r="J50" i="2"/>
  <c r="G53" i="2"/>
  <c r="H50" i="2"/>
  <c r="F53" i="2"/>
  <c r="G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47" i="2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J14" i="2" s="1"/>
  <c r="E102" i="3"/>
  <c r="H102" i="3"/>
  <c r="C93" i="3"/>
  <c r="I94" i="3" s="1"/>
  <c r="J60" i="2" l="1"/>
  <c r="J22" i="2"/>
  <c r="J61" i="2" s="1"/>
  <c r="I22" i="2"/>
  <c r="I61" i="2" s="1"/>
  <c r="E22" i="2"/>
  <c r="E61" i="2" s="1"/>
  <c r="E60" i="2"/>
  <c r="L15" i="2"/>
  <c r="M60" i="2"/>
  <c r="F22" i="2"/>
  <c r="F61" i="2" s="1"/>
  <c r="F60" i="2"/>
  <c r="K15" i="2"/>
  <c r="L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M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55" i="2" s="1"/>
  <c r="C37" i="2"/>
  <c r="C61" i="2" s="1"/>
  <c r="C60" i="2" l="1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<sst xmlns="http://schemas.openxmlformats.org/spreadsheetml/2006/main" count="393" uniqueCount="275">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</sst>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269</v>
      </c>
      <c r="E8" s="267"/>
    </row>
    <row r="9" spans="1:5" ht="13.9" x14ac:dyDescent="0.4">
      <c r="B9" s="140" t="s">
        <v>212</v>
      </c>
      <c r="C9" s="192" t="s">
        <v>239</v>
      </c>
    </row>
    <row r="10" spans="1:5" ht="13.9" x14ac:dyDescent="0.4">
      <c r="B10" s="140" t="s">
        <v>213</v>
      </c>
      <c r="C10" s="193">
        <v>9987736800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215</v>
      </c>
      <c r="C14" s="219">
        <v>45381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242</v>
      </c>
      <c r="D18" s="24"/>
    </row>
    <row r="19" spans="2:13" ht="13.9" x14ac:dyDescent="0.4">
      <c r="B19" s="240" t="s">
        <v>235</v>
      </c>
      <c r="C19" s="242" t="s">
        <v>271</v>
      </c>
      <c r="D19" s="24"/>
    </row>
    <row r="20" spans="2:13" ht="13.9" x14ac:dyDescent="0.4">
      <c r="B20" s="241" t="s">
        <v>224</v>
      </c>
      <c r="C20" s="242" t="s">
        <v>271</v>
      </c>
      <c r="D20" s="24"/>
    </row>
    <row r="21" spans="2:13" ht="13.9" x14ac:dyDescent="0.4">
      <c r="B21" s="224" t="s">
        <v>227</v>
      </c>
      <c r="C21" s="242" t="s">
        <v>270</v>
      </c>
      <c r="D21" s="24"/>
    </row>
    <row r="22" spans="2:13" ht="78.75" x14ac:dyDescent="0.4">
      <c r="B22" s="226" t="s">
        <v>226</v>
      </c>
      <c r="C22" s="243" t="s">
        <v>272</v>
      </c>
      <c r="D22" s="24"/>
    </row>
    <row r="24" spans="2:13" ht="13.9" x14ac:dyDescent="0.4">
      <c r="B24" s="115" t="s">
        <v>130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103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101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108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8.2458770614692659E-2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246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247</v>
      </c>
      <c r="C86" s="197">
        <v>5</v>
      </c>
    </row>
    <row r="87" spans="2:8" ht="13.9" x14ac:dyDescent="0.4">
      <c r="B87" s="10" t="s">
        <v>245</v>
      </c>
      <c r="C87" s="236" t="s">
        <v>273</v>
      </c>
      <c r="D87" s="269">
        <v>0.02</v>
      </c>
    </row>
    <row r="89" spans="2:8" ht="13.5" x14ac:dyDescent="0.35">
      <c r="B89" s="106" t="s">
        <v>124</v>
      </c>
      <c r="C89" s="275">
        <f>C24</f>
        <v>45381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103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244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252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243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203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1929.HK</v>
      </c>
      <c r="D3" s="282"/>
      <c r="E3" s="87"/>
      <c r="F3" s="3" t="s">
        <v>1</v>
      </c>
      <c r="G3" s="132">
        <v>6.67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周大福</v>
      </c>
      <c r="D4" s="284"/>
      <c r="E4" s="87"/>
      <c r="F4" s="3" t="s">
        <v>3</v>
      </c>
      <c r="G4" s="287">
        <f>Inputs!C10</f>
        <v>9987736800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66618.204456000007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0.79501071628968012</v>
      </c>
      <c r="F20" s="87" t="s">
        <v>207</v>
      </c>
      <c r="G20" s="172">
        <v>0.15</v>
      </c>
    </row>
    <row r="21" spans="1:8" ht="15.75" customHeight="1" x14ac:dyDescent="0.4">
      <c r="B21" s="137" t="s">
        <v>241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1.3233621247382252E-3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6.4812855868203439E-3</v>
      </c>
      <c r="F24" s="140" t="s">
        <v>254</v>
      </c>
      <c r="G24" s="268">
        <f>G3/(Fin_Analysis!H86*G7)</f>
        <v>10.916990365193168</v>
      </c>
    </row>
    <row r="25" spans="1:8" ht="15.75" customHeight="1" x14ac:dyDescent="0.4">
      <c r="B25" s="137" t="s">
        <v>240</v>
      </c>
      <c r="C25" s="171">
        <f>Fin_Analysis!I82</f>
        <v>0</v>
      </c>
      <c r="F25" s="140" t="s">
        <v>170</v>
      </c>
      <c r="G25" s="171">
        <f>Fin_Analysis!I88</f>
        <v>0.90020160432627339</v>
      </c>
    </row>
    <row r="26" spans="1:8" ht="15.75" customHeight="1" x14ac:dyDescent="0.4">
      <c r="B26" s="138" t="s">
        <v>169</v>
      </c>
      <c r="C26" s="171">
        <f>Fin_Analysis!I83</f>
        <v>7.4842321832102252E-2</v>
      </c>
      <c r="F26" s="141" t="s">
        <v>189</v>
      </c>
      <c r="G26" s="178">
        <f>Fin_Analysis!H88*Exchange_Rate/G3</f>
        <v>8.2458770614692659E-2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4.959502102377308</v>
      </c>
      <c r="D29" s="129">
        <f>G29*(1+G20)</f>
        <v>10.521812138146784</v>
      </c>
      <c r="E29" s="87"/>
      <c r="F29" s="131">
        <f>IF(Fin_Analysis!C108="Profit",Fin_Analysis!F100,IF(Fin_Analysis!C108="Dividend",Fin_Analysis!F103,Fin_Analysis!F106))</f>
        <v>5.8347083557380097</v>
      </c>
      <c r="G29" s="278">
        <f>IF(Fin_Analysis!C108="Profit",Fin_Analysis!I100,IF(Fin_Analysis!C108="Dividend",Fin_Analysis!I103,Fin_Analysis!I106))</f>
        <v>9.1494018592580737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196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197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130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e">
        <f t="shared" si="44"/>
        <v>#VALUE!</v>
      </c>
      <c r="I53" s="153" t="e">
        <f t="shared" si="44"/>
        <v>#VALUE!</v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8.6599205211192604E-2</v>
      </c>
      <c r="D57" s="153">
        <f t="shared" si="47"/>
        <v>8.6722499851857676E-2</v>
      </c>
      <c r="E57" s="153">
        <f t="shared" si="47"/>
        <v>4.3435573352998177E-2</v>
      </c>
      <c r="F57" s="153">
        <f t="shared" si="47"/>
        <v>4.9404128398176213E-2</v>
      </c>
      <c r="G57" s="153">
        <f t="shared" si="47"/>
        <v>0.1460893174144591</v>
      </c>
      <c r="H57" s="153">
        <f t="shared" si="47"/>
        <v>6.1468062502766631E-2</v>
      </c>
      <c r="I57" s="153">
        <f t="shared" si="47"/>
        <v>5.009181100635824E-2</v>
      </c>
      <c r="J57" s="153">
        <f t="shared" si="47"/>
        <v>5.5654001160438483E-2</v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45381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103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93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244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168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228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243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156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9.1600337322667008E-2</v>
      </c>
      <c r="D87" s="209"/>
      <c r="E87" s="262">
        <f>E86*Exchange_Rate/Dashboard!G3</f>
        <v>9.1600337322667008E-2</v>
      </c>
      <c r="F87" s="209"/>
      <c r="H87" s="262">
        <f>H86*Exchange_Rate/Dashboard!G3</f>
        <v>9.1600337322667008E-2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217</v>
      </c>
      <c r="C89" s="261">
        <f>C88*Exchange_Rate/Dashboard!G3</f>
        <v>8.2458770614692659E-2</v>
      </c>
      <c r="D89" s="209"/>
      <c r="E89" s="261">
        <f>E88*Exchange_Rate/Dashboard!G3</f>
        <v>6.5967016491754127E-2</v>
      </c>
      <c r="F89" s="209"/>
      <c r="H89" s="261">
        <f>H88*Exchange_Rate/Dashboard!G3</f>
        <v>8.2458770614692659E-2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15.620303262700638</v>
      </c>
      <c r="H93" s="87" t="s">
        <v>205</v>
      </c>
      <c r="I93" s="144">
        <f>FV(H87,D93,0,-(H86/(C93-D94)))*Exchange_Rate</f>
        <v>15.620303262700638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9.9889481526569117</v>
      </c>
      <c r="H94" s="87" t="s">
        <v>206</v>
      </c>
      <c r="I94" s="144">
        <f>FV(H89,D93,0,-(H88/(C93-D94)))*Exchange_Rate</f>
        <v>13.482417023902986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77565.277163897699</v>
      </c>
      <c r="D97" s="213"/>
      <c r="E97" s="123">
        <f>PV(C94,D93,0,-F93)</f>
        <v>7.7660513805187286</v>
      </c>
      <c r="F97" s="213"/>
      <c r="H97" s="123">
        <f>PV(C94,D93,0,-I93)</f>
        <v>7.7660513805187286</v>
      </c>
      <c r="I97" s="123">
        <f>PV(C93,D93,0,-I93)</f>
        <v>10.600208513099064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77565.277163897699</v>
      </c>
      <c r="D100" s="109">
        <f>MIN(F100*(1-C94),E100)</f>
        <v>6.6011436734409195</v>
      </c>
      <c r="E100" s="109">
        <f>MAX(E97+H98+E99,0)</f>
        <v>7.7660513805187286</v>
      </c>
      <c r="F100" s="109">
        <f>(E100+H100)/2</f>
        <v>7.7660513805187286</v>
      </c>
      <c r="H100" s="109">
        <f>MAX(C100*Data!$C$4/Common_Shares,0)</f>
        <v>7.7660513805187286</v>
      </c>
      <c r="I100" s="109">
        <f>MAX(I97+H98+H99,0)</f>
        <v>10.600208513099064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66949.238802261403</v>
      </c>
      <c r="D103" s="109">
        <f>MIN(F103*(1-C94),E103)</f>
        <v>4.959502102377308</v>
      </c>
      <c r="E103" s="123">
        <f>PV(C94,D93,0,-F94)</f>
        <v>4.9662726316018473</v>
      </c>
      <c r="F103" s="109">
        <f>(E103+H103)/2</f>
        <v>5.8347083557380097</v>
      </c>
      <c r="H103" s="123">
        <f>PV(C94,D93,0,-I94)</f>
        <v>6.7031440798741722</v>
      </c>
      <c r="I103" s="109">
        <f>PV(C93,D93,0,-I94)</f>
        <v>9.1494018592580737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63583.550542690158</v>
      </c>
      <c r="D106" s="109">
        <f>(D100+D103)/2</f>
        <v>5.7803228879091133</v>
      </c>
      <c r="E106" s="123">
        <f>(E100+E103)/2</f>
        <v>6.3661620060602875</v>
      </c>
      <c r="F106" s="109">
        <f>(F100+F103)/2</f>
        <v>6.8003798681283687</v>
      </c>
      <c r="H106" s="123">
        <f>(H100+H103)/2</f>
        <v>7.2345977301964499</v>
      </c>
      <c r="I106" s="123">
        <f>(I100+I103)/2</f>
        <v>9.8748051861785697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