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39D6E3B-93BF-41C6-88D9-5BE7A798CED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7" i="3"/>
  <c r="M53" i="2"/>
  <c r="F94" i="4" l="1"/>
  <c r="F95" i="4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I27" i="2"/>
  <c r="I55" i="2"/>
  <c r="J27" i="2"/>
  <c r="J55" i="2"/>
  <c r="K53" i="2"/>
  <c r="L50" i="2"/>
  <c r="I53" i="2"/>
  <c r="J50" i="2"/>
  <c r="F53" i="2"/>
  <c r="G50" i="2"/>
  <c r="J53" i="2"/>
  <c r="K50" i="2"/>
  <c r="H53" i="2"/>
  <c r="I50" i="2"/>
  <c r="G53" i="2"/>
  <c r="H50" i="2"/>
  <c r="E53" i="2"/>
  <c r="F50" i="2"/>
  <c r="C53" i="2"/>
  <c r="D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D22" i="2"/>
  <c r="D61" i="2" s="1"/>
  <c r="D60" i="2"/>
  <c r="L15" i="2"/>
  <c r="M60" i="2"/>
  <c r="E22" i="2"/>
  <c r="E61" i="2" s="1"/>
  <c r="E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15" i="2"/>
  <c r="E15" i="2"/>
  <c r="K13" i="2"/>
  <c r="E13" i="2"/>
  <c r="E59" i="2" s="1"/>
  <c r="L13" i="2"/>
  <c r="L59" i="2" s="1"/>
  <c r="E40" i="2"/>
  <c r="G13" i="2"/>
  <c r="D40" i="2"/>
  <c r="D13" i="2"/>
  <c r="D59" i="2" s="1"/>
  <c r="G40" i="2"/>
  <c r="K56" i="2"/>
  <c r="L24" i="2"/>
  <c r="L23" i="2" s="1"/>
  <c r="M57" i="2"/>
  <c r="M56" i="2"/>
  <c r="G59" i="2" l="1"/>
  <c r="K59" i="2"/>
  <c r="E57" i="2"/>
  <c r="D56" i="2"/>
  <c r="M59" i="2"/>
  <c r="G57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<sst xmlns="http://schemas.openxmlformats.org/spreadsheetml/2006/main" count="393" uniqueCount="274">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</sst>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265</v>
      </c>
    </row>
    <row r="5" spans="1:5" ht="13.9" x14ac:dyDescent="0.4">
      <c r="B5" s="141" t="s">
        <v>191</v>
      </c>
      <c r="C5" s="191" t="s">
        <v>266</v>
      </c>
    </row>
    <row r="6" spans="1:5" ht="13.9" x14ac:dyDescent="0.4">
      <c r="B6" s="141" t="s">
        <v>159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267</v>
      </c>
      <c r="E8" s="267"/>
    </row>
    <row r="9" spans="1:5" ht="13.9" x14ac:dyDescent="0.4">
      <c r="B9" s="140" t="s">
        <v>212</v>
      </c>
      <c r="C9" s="192" t="s">
        <v>268</v>
      </c>
    </row>
    <row r="10" spans="1:5" ht="13.9" x14ac:dyDescent="0.4">
      <c r="B10" s="140" t="s">
        <v>213</v>
      </c>
      <c r="C10" s="193">
        <v>10572780266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249</v>
      </c>
      <c r="C15" s="176" t="s">
        <v>185</v>
      </c>
    </row>
    <row r="16" spans="1:5" ht="13.9" x14ac:dyDescent="0.4">
      <c r="B16" s="222" t="s">
        <v>94</v>
      </c>
      <c r="C16" s="223">
        <v>0.22500000000000001</v>
      </c>
      <c r="D16" s="24"/>
    </row>
    <row r="17" spans="2:13" ht="13.9" x14ac:dyDescent="0.4">
      <c r="B17" s="240" t="s">
        <v>220</v>
      </c>
      <c r="C17" s="242" t="s">
        <v>269</v>
      </c>
      <c r="D17" s="24"/>
    </row>
    <row r="18" spans="2:13" ht="13.9" x14ac:dyDescent="0.4">
      <c r="B18" s="240" t="s">
        <v>234</v>
      </c>
      <c r="C18" s="242" t="s">
        <v>270</v>
      </c>
      <c r="D18" s="24"/>
    </row>
    <row r="19" spans="2:13" ht="13.9" x14ac:dyDescent="0.4">
      <c r="B19" s="240" t="s">
        <v>235</v>
      </c>
      <c r="C19" s="242" t="s">
        <v>270</v>
      </c>
      <c r="D19" s="24"/>
    </row>
    <row r="20" spans="2:13" ht="13.9" x14ac:dyDescent="0.4">
      <c r="B20" s="241" t="s">
        <v>224</v>
      </c>
      <c r="C20" s="242" t="s">
        <v>270</v>
      </c>
      <c r="D20" s="24"/>
    </row>
    <row r="21" spans="2:13" ht="13.9" x14ac:dyDescent="0.4">
      <c r="B21" s="224" t="s">
        <v>227</v>
      </c>
      <c r="C21" s="242" t="s">
        <v>269</v>
      </c>
      <c r="D21" s="24"/>
    </row>
    <row r="22" spans="2:13" ht="78.75" x14ac:dyDescent="0.4">
      <c r="B22" s="226" t="s">
        <v>226</v>
      </c>
      <c r="C22" s="243" t="s">
        <v>271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142573</v>
      </c>
      <c r="D25" s="149">
        <v>77824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4079</v>
      </c>
      <c r="D26" s="150">
        <v>3197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16607</v>
      </c>
      <c r="D27" s="150">
        <v>16950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250</v>
      </c>
      <c r="C29" s="150">
        <v>77411</v>
      </c>
      <c r="D29" s="150">
        <v>25020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2134</v>
      </c>
      <c r="D30" s="150">
        <v>1290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1.145+0.57</f>
        <v>1.7149999999999999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246</v>
      </c>
      <c r="C45" s="152">
        <f>IF(C44="","",C44*Exchange_Rate/Dashboard!$G$3)</f>
        <v>6.8599999999999994E-2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216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272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142573</v>
      </c>
      <c r="D91" s="209"/>
      <c r="E91" s="251">
        <f>C91</f>
        <v>142573</v>
      </c>
      <c r="F91" s="251">
        <f>C91</f>
        <v>142573</v>
      </c>
    </row>
    <row r="92" spans="2:8" ht="13.9" x14ac:dyDescent="0.4">
      <c r="B92" s="104" t="s">
        <v>103</v>
      </c>
      <c r="C92" s="77">
        <f>C26</f>
        <v>4079</v>
      </c>
      <c r="D92" s="159">
        <f>C92/C91</f>
        <v>2.8609905101246377E-2</v>
      </c>
      <c r="E92" s="252">
        <f>E91*D92</f>
        <v>4078.9999999999995</v>
      </c>
      <c r="F92" s="252">
        <f>F91*D92</f>
        <v>4078.9999999999995</v>
      </c>
    </row>
    <row r="93" spans="2:8" ht="13.9" x14ac:dyDescent="0.4">
      <c r="B93" s="104" t="s">
        <v>242</v>
      </c>
      <c r="C93" s="77">
        <f>C27+C28</f>
        <v>16607</v>
      </c>
      <c r="D93" s="159">
        <f>C93/C91</f>
        <v>0.11648068007266453</v>
      </c>
      <c r="E93" s="252">
        <f>E91*D93</f>
        <v>16607</v>
      </c>
      <c r="F93" s="252">
        <f>F91*D93</f>
        <v>16607</v>
      </c>
    </row>
    <row r="94" spans="2:8" ht="13.9" x14ac:dyDescent="0.4">
      <c r="B94" s="104" t="s">
        <v>250</v>
      </c>
      <c r="C94" s="77">
        <f>C29</f>
        <v>77411</v>
      </c>
      <c r="D94" s="159">
        <f>C94/C91</f>
        <v>0.54295694135635775</v>
      </c>
      <c r="E94" s="253"/>
      <c r="F94" s="252">
        <f>F91*D94</f>
        <v>77411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2753.5483870967741</v>
      </c>
      <c r="D97" s="159">
        <f>C97/C91</f>
        <v>1.9313252769435827E-2</v>
      </c>
      <c r="E97" s="253"/>
      <c r="F97" s="252">
        <f>F91*D97</f>
        <v>2753.5483870967741</v>
      </c>
    </row>
    <row r="98" spans="2:7" ht="13.9" x14ac:dyDescent="0.4">
      <c r="B98" s="86" t="s">
        <v>203</v>
      </c>
      <c r="C98" s="237">
        <f>C44</f>
        <v>1.7149999999999999</v>
      </c>
      <c r="D98" s="266"/>
      <c r="E98" s="254">
        <f>F98</f>
        <v>1.48</v>
      </c>
      <c r="F98" s="254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2388.HK</v>
      </c>
      <c r="D3" s="282"/>
      <c r="E3" s="87"/>
      <c r="F3" s="3" t="s">
        <v>1</v>
      </c>
      <c r="G3" s="132">
        <v>25</v>
      </c>
      <c r="H3" s="134" t="s">
        <v>273</v>
      </c>
    </row>
    <row r="4" spans="1:10" ht="15.75" customHeight="1" x14ac:dyDescent="0.4">
      <c r="B4" s="35" t="s">
        <v>191</v>
      </c>
      <c r="C4" s="283" t="str">
        <f>Inputs!C5</f>
        <v>中银香港</v>
      </c>
      <c r="D4" s="284"/>
      <c r="E4" s="87"/>
      <c r="F4" s="3" t="s">
        <v>3</v>
      </c>
      <c r="G4" s="287">
        <f>Inputs!C10</f>
        <v>10572780266</v>
      </c>
      <c r="H4" s="287"/>
      <c r="I4" s="39"/>
    </row>
    <row r="5" spans="1:10" ht="15.75" customHeight="1" x14ac:dyDescent="0.4">
      <c r="B5" s="3" t="s">
        <v>159</v>
      </c>
      <c r="C5" s="285">
        <f>Inputs!C6</f>
        <v>45593</v>
      </c>
      <c r="D5" s="286"/>
      <c r="E5" s="34"/>
      <c r="F5" s="35" t="s">
        <v>97</v>
      </c>
      <c r="G5" s="279">
        <f>G3*G4/1000000</f>
        <v>264319.50665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HK</v>
      </c>
      <c r="F16" s="110" t="s">
        <v>174</v>
      </c>
    </row>
    <row r="17" spans="1:8" ht="15.75" customHeight="1" thickTop="1" x14ac:dyDescent="0.4">
      <c r="B17" s="87" t="s">
        <v>248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2.8609905101246377E-2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0.11648068007266453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1.9313252769435827E-2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166</v>
      </c>
      <c r="C24" s="171">
        <f>Fin_Analysis!I81</f>
        <v>0.54295694135635775</v>
      </c>
      <c r="F24" s="140" t="s">
        <v>252</v>
      </c>
      <c r="G24" s="268">
        <f>G3/(Fin_Analysis!H86*G7)</f>
        <v>8.1744340217535854</v>
      </c>
    </row>
    <row r="25" spans="1:8" ht="15.75" customHeight="1" x14ac:dyDescent="0.4">
      <c r="B25" s="137" t="s">
        <v>239</v>
      </c>
      <c r="C25" s="171">
        <f>Fin_Analysis!I82</f>
        <v>0</v>
      </c>
      <c r="F25" s="140" t="s">
        <v>170</v>
      </c>
      <c r="G25" s="171">
        <f>Fin_Analysis!I88</f>
        <v>0.48392649408781224</v>
      </c>
    </row>
    <row r="26" spans="1:8" ht="15.75" customHeight="1" x14ac:dyDescent="0.4">
      <c r="B26" s="138" t="s">
        <v>169</v>
      </c>
      <c r="C26" s="171">
        <f>Fin_Analysis!I83</f>
        <v>0.29263922070029547</v>
      </c>
      <c r="F26" s="141" t="s">
        <v>189</v>
      </c>
      <c r="G26" s="178">
        <f>Fin_Analysis!H88*Exchange_Rate/G3</f>
        <v>5.9200000000000003E-2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251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13.754016728069699</v>
      </c>
      <c r="D29" s="129">
        <f>G29*(1+G20)</f>
        <v>25.399350519562763</v>
      </c>
      <c r="E29" s="87"/>
      <c r="F29" s="131">
        <f>IF(Fin_Analysis!C108="Profit",Fin_Analysis!F100,IF(Fin_Analysis!C108="Dividend",Fin_Analysis!F103,Fin_Analysis!F106))</f>
        <v>16.181196150670235</v>
      </c>
      <c r="G29" s="278">
        <f>IF(Fin_Analysis!C108="Profit",Fin_Analysis!I100,IF(Fin_Analysis!C108="Dividend",Fin_Analysis!I103,Fin_Analysis!I106))</f>
        <v>22.086391756141534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Strongly agree</v>
      </c>
    </row>
    <row r="34" spans="1:3" ht="15.75" customHeight="1" x14ac:dyDescent="0.4">
      <c r="A34"/>
      <c r="B34" s="19" t="s">
        <v>221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agree</v>
      </c>
    </row>
    <row r="37" spans="1:3" ht="15.75" customHeight="1" x14ac:dyDescent="0.4">
      <c r="A37"/>
      <c r="B37" s="20" t="s">
        <v>235</v>
      </c>
      <c r="C37" s="245" t="str">
        <f>Inputs!C19</f>
        <v>agree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agree</v>
      </c>
    </row>
    <row r="40" spans="1:3" ht="15.75" customHeight="1" x14ac:dyDescent="0.4">
      <c r="A40"/>
      <c r="B40" s="1" t="s">
        <v>227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197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142573</v>
      </c>
      <c r="D6" s="200">
        <f>IF(Inputs!D25="","",Inputs!D25)</f>
        <v>77824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4079</v>
      </c>
      <c r="D8" s="199">
        <f>IF(Inputs!D26="","",Inputs!D26)</f>
        <v>3197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138494</v>
      </c>
      <c r="D9" s="151">
        <f t="shared" si="2"/>
        <v>74627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16607</v>
      </c>
      <c r="D10" s="199">
        <f>IF(Inputs!D27="","",Inputs!D27)</f>
        <v>16950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2753.5483870967741</v>
      </c>
      <c r="D12" s="199">
        <f>IF(Inputs!D30="","",MAX(Inputs!D30,0)/(1-Fin_Analysis!$I$84))</f>
        <v>1664.516129032258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0.83559616205665332</v>
      </c>
      <c r="D13" s="229">
        <f t="shared" si="3"/>
        <v>0.71973278000318341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119133.45161290323</v>
      </c>
      <c r="D14" s="230">
        <f t="shared" ref="D14:M14" si="4">IF(D6="","",D9-D10-MAX(D11,0)-MAX(D12,0))</f>
        <v>56012.483870967742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1.1269089206496017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250</v>
      </c>
      <c r="C17" s="199">
        <f>IF(Inputs!C29="","",Inputs!C29)</f>
        <v>77411</v>
      </c>
      <c r="D17" s="199">
        <f>IF(Inputs!D29="","",Inputs!D29)</f>
        <v>25020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41722.451612903227</v>
      </c>
      <c r="D22" s="161">
        <f t="shared" ref="D22:M22" si="8">IF(D6="","",D14-MAX(D16,0)-MAX(D17,0)-ABS(MAX(D21,0)-MAX(D19,0)))</f>
        <v>30992.483870967742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0.226795396042729</v>
      </c>
      <c r="D23" s="153">
        <f t="shared" si="9"/>
        <v>0.30863454718338817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0.34621193275789042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2.8609905101246377E-2</v>
      </c>
      <c r="D42" s="156">
        <f t="shared" si="34"/>
        <v>4.1079872532894739E-2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0.11648068007266453</v>
      </c>
      <c r="D43" s="153">
        <f t="shared" si="35"/>
        <v>0.21779913651315788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0.54295694135635775</v>
      </c>
      <c r="D45" s="153">
        <f t="shared" si="37"/>
        <v>0.32149465460526316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1.9313252769435827E-2</v>
      </c>
      <c r="D46" s="153">
        <f t="shared" ref="D46:M46" si="38">IF(D6="","",MAX(D12,0)/D6)</f>
        <v>2.1388210950764007E-2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0.29263922070029547</v>
      </c>
      <c r="D48" s="153">
        <f t="shared" si="40"/>
        <v>0.3982381253979202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1.8553799455077948</v>
      </c>
      <c r="D57" s="153">
        <f t="shared" si="47"/>
        <v>0.80729250692415533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142573</v>
      </c>
      <c r="D74" s="209"/>
      <c r="E74" s="238">
        <f>Inputs!E91</f>
        <v>142573</v>
      </c>
      <c r="F74" s="209"/>
      <c r="H74" s="238">
        <f>Inputs!F91</f>
        <v>142573</v>
      </c>
      <c r="I74" s="209"/>
      <c r="K74" s="24"/>
    </row>
    <row r="75" spans="1:11" ht="15" customHeight="1" x14ac:dyDescent="0.4">
      <c r="B75" s="104" t="s">
        <v>103</v>
      </c>
      <c r="C75" s="77">
        <f>Data!C8</f>
        <v>4079</v>
      </c>
      <c r="D75" s="159">
        <f>C75/$C$74</f>
        <v>2.8609905101246377E-2</v>
      </c>
      <c r="E75" s="238">
        <f>Inputs!E92</f>
        <v>4078.9999999999995</v>
      </c>
      <c r="F75" s="160">
        <f>E75/E74</f>
        <v>2.8609905101246377E-2</v>
      </c>
      <c r="H75" s="238">
        <f>Inputs!F92</f>
        <v>4078.9999999999995</v>
      </c>
      <c r="I75" s="160">
        <f>H75/$H$74</f>
        <v>2.8609905101246377E-2</v>
      </c>
      <c r="K75" s="24"/>
    </row>
    <row r="76" spans="1:11" ht="15" customHeight="1" x14ac:dyDescent="0.4">
      <c r="B76" s="35" t="s">
        <v>93</v>
      </c>
      <c r="C76" s="161">
        <f>C74-C75</f>
        <v>138494</v>
      </c>
      <c r="D76" s="210"/>
      <c r="E76" s="162">
        <f>E74-E75</f>
        <v>138494</v>
      </c>
      <c r="F76" s="210"/>
      <c r="H76" s="162">
        <f>H74-H75</f>
        <v>138494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16607</v>
      </c>
      <c r="D77" s="159">
        <f>C77/$C$74</f>
        <v>0.11648068007266453</v>
      </c>
      <c r="E77" s="238">
        <f>Inputs!E93</f>
        <v>16607</v>
      </c>
      <c r="F77" s="160">
        <f>E77/E74</f>
        <v>0.11648068007266453</v>
      </c>
      <c r="H77" s="238">
        <f>Inputs!F93</f>
        <v>16607</v>
      </c>
      <c r="I77" s="160">
        <f>H77/$H$74</f>
        <v>0.11648068007266453</v>
      </c>
      <c r="K77" s="24"/>
    </row>
    <row r="78" spans="1:11" ht="15" customHeight="1" x14ac:dyDescent="0.4">
      <c r="B78" s="73" t="s">
        <v>168</v>
      </c>
      <c r="C78" s="77">
        <f>MAX(Data!C12,0)</f>
        <v>2753.5483870967741</v>
      </c>
      <c r="D78" s="159">
        <f>C78/$C$74</f>
        <v>1.9313252769435827E-2</v>
      </c>
      <c r="E78" s="180">
        <f>E74*F78</f>
        <v>2753.5483870967741</v>
      </c>
      <c r="F78" s="160">
        <f>I78</f>
        <v>1.9313252769435827E-2</v>
      </c>
      <c r="H78" s="238">
        <f>Inputs!F97</f>
        <v>2753.5483870967741</v>
      </c>
      <c r="I78" s="160">
        <f>H78/$H$74</f>
        <v>1.9313252769435827E-2</v>
      </c>
      <c r="K78" s="24"/>
    </row>
    <row r="79" spans="1:11" ht="15" customHeight="1" x14ac:dyDescent="0.4">
      <c r="B79" s="256" t="s">
        <v>228</v>
      </c>
      <c r="C79" s="257">
        <f>C76-C77-C78</f>
        <v>119133.45161290323</v>
      </c>
      <c r="D79" s="258">
        <f>C79/C74</f>
        <v>0.83559616205665332</v>
      </c>
      <c r="E79" s="259">
        <f>E76-E77-E78</f>
        <v>119133.45161290323</v>
      </c>
      <c r="F79" s="258">
        <f>E79/E74</f>
        <v>0.83559616205665332</v>
      </c>
      <c r="G79" s="260"/>
      <c r="H79" s="259">
        <f>H76-H77-H78</f>
        <v>119133.45161290323</v>
      </c>
      <c r="I79" s="258">
        <f>H79/H74</f>
        <v>0.83559616205665332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250</v>
      </c>
      <c r="C81" s="77">
        <f>MAX(Data!C17,0)</f>
        <v>77411</v>
      </c>
      <c r="D81" s="159">
        <f>C81/$C$74</f>
        <v>0.54295694135635775</v>
      </c>
      <c r="E81" s="180">
        <f>E74*F81</f>
        <v>77411</v>
      </c>
      <c r="F81" s="160">
        <f>I81</f>
        <v>0.54295694135635775</v>
      </c>
      <c r="H81" s="238">
        <f>Inputs!F94</f>
        <v>77411</v>
      </c>
      <c r="I81" s="160">
        <f>H81/$H$74</f>
        <v>0.54295694135635775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41722.451612903227</v>
      </c>
      <c r="D83" s="164">
        <f>C83/$C$74</f>
        <v>0.29263922070029547</v>
      </c>
      <c r="E83" s="165">
        <f>E79-E81-E82-E80</f>
        <v>41722.451612903227</v>
      </c>
      <c r="F83" s="164">
        <f>E83/E74</f>
        <v>0.29263922070029547</v>
      </c>
      <c r="H83" s="165">
        <f>H79-H81-H82-H80</f>
        <v>41722.451612903227</v>
      </c>
      <c r="I83" s="164">
        <f>H83/$H$74</f>
        <v>0.29263922070029547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0.22500000000000001</v>
      </c>
      <c r="E84" s="212"/>
      <c r="F84" s="179">
        <f t="shared" ref="F84" si="3">I84</f>
        <v>0.22500000000000001</v>
      </c>
      <c r="H84" s="212"/>
      <c r="I84" s="202">
        <f>Inputs!C16</f>
        <v>0.22500000000000001</v>
      </c>
      <c r="K84" s="24"/>
    </row>
    <row r="85" spans="1:11" ht="15" customHeight="1" x14ac:dyDescent="0.4">
      <c r="B85" s="263" t="s">
        <v>160</v>
      </c>
      <c r="C85" s="257">
        <f>C83*(1-I84)</f>
        <v>32334.9</v>
      </c>
      <c r="D85" s="258">
        <f>C85/$C$74</f>
        <v>0.226795396042729</v>
      </c>
      <c r="E85" s="264">
        <f>E83*(1-F84)</f>
        <v>32334.9</v>
      </c>
      <c r="F85" s="258">
        <f>E85/E74</f>
        <v>0.226795396042729</v>
      </c>
      <c r="G85" s="260"/>
      <c r="H85" s="264">
        <f>H83*(1-I84)</f>
        <v>32334.9</v>
      </c>
      <c r="I85" s="258">
        <f>H85/$H$74</f>
        <v>0.226795396042729</v>
      </c>
      <c r="K85" s="24"/>
    </row>
    <row r="86" spans="1:11" ht="15" customHeight="1" x14ac:dyDescent="0.4">
      <c r="B86" s="87" t="s">
        <v>156</v>
      </c>
      <c r="C86" s="167">
        <f>C85*Data!C4/Common_Shares</f>
        <v>3.0583157113349584</v>
      </c>
      <c r="D86" s="209"/>
      <c r="E86" s="168">
        <f>E85*Data!C4/Common_Shares</f>
        <v>3.0583157113349584</v>
      </c>
      <c r="F86" s="209"/>
      <c r="H86" s="168">
        <f>H85*Data!C4/Common_Shares</f>
        <v>3.0583157113349584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0.12233262845339833</v>
      </c>
      <c r="D87" s="209"/>
      <c r="E87" s="262">
        <f>E86*Exchange_Rate/Dashboard!G3</f>
        <v>0.12233262845339833</v>
      </c>
      <c r="F87" s="209"/>
      <c r="H87" s="262">
        <f>H86*Exchange_Rate/Dashboard!G3</f>
        <v>0.12233262845339833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1.7149999999999999</v>
      </c>
      <c r="D88" s="166">
        <f>C88/C86</f>
        <v>0.56076617389229588</v>
      </c>
      <c r="E88" s="170">
        <f>Inputs!E98</f>
        <v>1.48</v>
      </c>
      <c r="F88" s="166">
        <f>E88/E86</f>
        <v>0.48392649408781224</v>
      </c>
      <c r="H88" s="170">
        <f>Inputs!F98</f>
        <v>1.48</v>
      </c>
      <c r="I88" s="166">
        <f>H88/H86</f>
        <v>0.48392649408781224</v>
      </c>
      <c r="K88" s="24"/>
    </row>
    <row r="89" spans="1:11" ht="15" customHeight="1" x14ac:dyDescent="0.4">
      <c r="B89" s="87" t="s">
        <v>217</v>
      </c>
      <c r="C89" s="261">
        <f>C88*Exchange_Rate/Dashboard!G3</f>
        <v>6.8599999999999994E-2</v>
      </c>
      <c r="D89" s="209"/>
      <c r="E89" s="261">
        <f>E88*Exchange_Rate/Dashboard!G3</f>
        <v>5.9200000000000003E-2</v>
      </c>
      <c r="F89" s="209"/>
      <c r="H89" s="261">
        <f>H88*Exchange_Rate/Dashboard!G3</f>
        <v>5.9200000000000003E-2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HK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205</v>
      </c>
      <c r="F93" s="144">
        <f>FV(E87,D93,0,-(E86/(C93-D94)))*Exchange_Rate</f>
        <v>89.833538930451937</v>
      </c>
      <c r="H93" s="87" t="s">
        <v>205</v>
      </c>
      <c r="I93" s="144">
        <f>FV(H87,D93,0,-(H86/(C93-D94)))*Exchange_Rate</f>
        <v>89.833538930451937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32.546165179997899</v>
      </c>
      <c r="H94" s="87" t="s">
        <v>206</v>
      </c>
      <c r="I94" s="144">
        <f>FV(H89,D93,0,-(H88/(C93-D94)))*Exchange_Rate</f>
        <v>32.546165179997899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472213.62447778828</v>
      </c>
      <c r="D97" s="213"/>
      <c r="E97" s="123">
        <f>PV(C94,D93,0,-F93)</f>
        <v>44.663145605733924</v>
      </c>
      <c r="F97" s="213"/>
      <c r="H97" s="123">
        <f>PV(C94,D93,0,-I93)</f>
        <v>44.663145605733924</v>
      </c>
      <c r="I97" s="123">
        <f>PV(C93,D93,0,-I93)</f>
        <v>60.96259644371046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472213.62447778828</v>
      </c>
      <c r="D100" s="109">
        <f>MIN(F100*(1-C94),E100)</f>
        <v>37.963673764873832</v>
      </c>
      <c r="E100" s="109">
        <f>MAX(E97+H98+E99,0)</f>
        <v>44.663145605733924</v>
      </c>
      <c r="F100" s="109">
        <f>(E100+H100)/2</f>
        <v>44.663145605733924</v>
      </c>
      <c r="H100" s="109">
        <f>MAX(C100*Data!$C$4/Common_Shares,0)</f>
        <v>44.663145605733924</v>
      </c>
      <c r="I100" s="109">
        <f>MAX(I97+H98+H99,0)</f>
        <v>60.96259644371046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171080.23134208142</v>
      </c>
      <c r="D103" s="109">
        <f>MIN(F103*(1-C94),E103)</f>
        <v>13.754016728069699</v>
      </c>
      <c r="E103" s="123">
        <f>PV(C94,D93,0,-F94)</f>
        <v>16.181196150670235</v>
      </c>
      <c r="F103" s="109">
        <f>(E103+H103)/2</f>
        <v>16.181196150670235</v>
      </c>
      <c r="H103" s="123">
        <f>PV(C94,D93,0,-I94)</f>
        <v>16.181196150670235</v>
      </c>
      <c r="I103" s="109">
        <f>PV(C93,D93,0,-I94)</f>
        <v>22.086391756141534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321646.92790993489</v>
      </c>
      <c r="D106" s="109">
        <f>(D100+D103)/2</f>
        <v>25.858845246471766</v>
      </c>
      <c r="E106" s="123">
        <f>(E100+E103)/2</f>
        <v>30.422170878202081</v>
      </c>
      <c r="F106" s="109">
        <f>(F100+F103)/2</f>
        <v>30.422170878202081</v>
      </c>
      <c r="H106" s="123">
        <f>(H100+H103)/2</f>
        <v>30.422170878202081</v>
      </c>
      <c r="I106" s="123">
        <f>(I100+I103)/2</f>
        <v>41.524494099925995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