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55316E4-4865-44C9-9129-C30D736A00E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E95" i="4" l="1"/>
  <c r="F96" i="4"/>
  <c r="F97" i="4"/>
  <c r="E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I27" i="2" l="1"/>
  <c r="I55" i="2"/>
  <c r="M27" i="2"/>
  <c r="M55" i="2"/>
  <c r="K27" i="2"/>
  <c r="K55" i="2"/>
  <c r="J27" i="2"/>
  <c r="J55" i="2"/>
  <c r="J53" i="2"/>
  <c r="K50" i="2"/>
  <c r="H53" i="2"/>
  <c r="I50" i="2"/>
  <c r="G53" i="2"/>
  <c r="H50" i="2"/>
  <c r="E53" i="2"/>
  <c r="F53" i="2"/>
  <c r="G50" i="2"/>
  <c r="I53" i="2"/>
  <c r="J50" i="2"/>
  <c r="D53" i="2"/>
  <c r="E50" i="2"/>
  <c r="K53" i="2"/>
  <c r="L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E22" i="2"/>
  <c r="E61" i="2" s="1"/>
  <c r="E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E59" i="2" l="1"/>
  <c r="K59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37" i="2"/>
  <c r="C55" i="2" s="1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<sst xmlns="http://schemas.openxmlformats.org/spreadsheetml/2006/main" count="393" uniqueCount="273">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</sst>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0.646070039633309</c:v>
                </c:pt>
                <c:pt idx="1">
                  <c:v>5.2294478730373475E-2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0.30163548163631754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2609743532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184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2.5765293573279939E-2</v>
      </c>
      <c r="D45" s="152">
        <f>IF(D44="","",D44*Exchange_Rate/Dashboard!$G$3)</f>
        <v>2.47743207435384E-2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3.9" x14ac:dyDescent="0.4">
      <c r="B92" s="104" t="s">
        <v>102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3.9" x14ac:dyDescent="0.4">
      <c r="B93" s="104" t="s">
        <v>242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3.9" x14ac:dyDescent="0.4">
      <c r="B94" s="104" t="s">
        <v>251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3606.HK</v>
      </c>
      <c r="D3" s="282"/>
      <c r="E3" s="87"/>
      <c r="F3" s="3" t="s">
        <v>1</v>
      </c>
      <c r="G3" s="132">
        <v>53.95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福耀玻璃</v>
      </c>
      <c r="D4" s="284"/>
      <c r="E4" s="87"/>
      <c r="F4" s="3" t="s">
        <v>2</v>
      </c>
      <c r="G4" s="287">
        <f>Inputs!C10</f>
        <v>2609743532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45633</v>
      </c>
      <c r="D5" s="286"/>
      <c r="E5" s="34"/>
      <c r="F5" s="35" t="s">
        <v>96</v>
      </c>
      <c r="G5" s="279">
        <f>G3*G4/1000000</f>
        <v>140795.66355140001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0.646070039633309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5.2294478730373475E-2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0</v>
      </c>
      <c r="F24" s="140" t="s">
        <v>254</v>
      </c>
      <c r="G24" s="268">
        <f>G3/(Fin_Analysis!H86*G7)</f>
        <v>17.552332233938284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0.45224099290316433</v>
      </c>
    </row>
    <row r="26" spans="1:8" ht="15.75" customHeight="1" x14ac:dyDescent="0.4">
      <c r="B26" s="138" t="s">
        <v>168</v>
      </c>
      <c r="C26" s="171">
        <f>Fin_Analysis!I83</f>
        <v>0.30163548163631754</v>
      </c>
      <c r="F26" s="141" t="s">
        <v>188</v>
      </c>
      <c r="G26" s="178">
        <f>Fin_Analysis!H88*Exchange_Rate/G3</f>
        <v>2.5765293573279939E-2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28.265261133986886</v>
      </c>
      <c r="D29" s="129">
        <f>G29*(1+G20)</f>
        <v>52.197062811763999</v>
      </c>
      <c r="E29" s="87"/>
      <c r="F29" s="131">
        <f>IF(Fin_Analysis!C108="Profit",Fin_Analysis!F100,IF(Fin_Analysis!C108="Dividend",Fin_Analysis!F103,Fin_Analysis!F106))</f>
        <v>33.253248392925748</v>
      </c>
      <c r="G29" s="278">
        <f>IF(Fin_Analysis!C108="Profit",Fin_Analysis!I100,IF(Fin_Analysis!C108="Dividend",Fin_Analysis!I103,Fin_Analysis!I106))</f>
        <v>45.388750271099134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0.646070039633309</v>
      </c>
      <c r="D42" s="156">
        <f t="shared" si="34"/>
        <v>0.65965362734589583</v>
      </c>
      <c r="E42" s="156">
        <f t="shared" si="34"/>
        <v>0.64097837640818056</v>
      </c>
      <c r="F42" s="156">
        <f t="shared" si="34"/>
        <v>0.63501137537699193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5.2294478730373475E-2</v>
      </c>
      <c r="D43" s="153">
        <f t="shared" si="35"/>
        <v>5.9885182097398341E-2</v>
      </c>
      <c r="E43" s="153">
        <f t="shared" si="35"/>
        <v>6.298580824022712E-2</v>
      </c>
      <c r="F43" s="153">
        <f t="shared" si="35"/>
        <v>9.2333278728308751E-2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0.30163548163631754</v>
      </c>
      <c r="D48" s="153">
        <f t="shared" si="40"/>
        <v>0.28046119055670582</v>
      </c>
      <c r="E48" s="153">
        <f t="shared" si="40"/>
        <v>0.29603581535159229</v>
      </c>
      <c r="F48" s="153">
        <f t="shared" si="40"/>
        <v>0.27265534589469931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4">
      <c r="B75" s="104" t="s">
        <v>102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4">
      <c r="B76" s="35" t="s">
        <v>92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4">
      <c r="B86" s="87" t="s">
        <v>155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5.6972485859540171E-2</v>
      </c>
      <c r="D87" s="209"/>
      <c r="E87" s="262">
        <f>E86*Exchange_Rate/Dashboard!G3</f>
        <v>5.6972485859540171E-2</v>
      </c>
      <c r="F87" s="209"/>
      <c r="H87" s="262">
        <f>H86*Exchange_Rate/Dashboard!G3</f>
        <v>5.6972485859540171E-2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4">
      <c r="B89" s="87" t="s">
        <v>216</v>
      </c>
      <c r="C89" s="261">
        <f>C88*Exchange_Rate/Dashboard!G3</f>
        <v>2.5765293573279939E-2</v>
      </c>
      <c r="D89" s="209"/>
      <c r="E89" s="261">
        <f>E88*Exchange_Rate/Dashboard!G3</f>
        <v>2.5765293573279939E-2</v>
      </c>
      <c r="F89" s="209"/>
      <c r="H89" s="261">
        <f>H88*Exchange_Rate/Dashboard!G3</f>
        <v>2.5765293573279939E-2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66.884160162834007</v>
      </c>
      <c r="H93" s="87" t="s">
        <v>204</v>
      </c>
      <c r="I93" s="144">
        <f>FV(H87,D93,0,-(H86/(C93-D94)))*Exchange_Rate</f>
        <v>66.884160162834007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26.03843010827789</v>
      </c>
      <c r="H94" s="87" t="s">
        <v>205</v>
      </c>
      <c r="I94" s="144">
        <f>FV(H89,D93,0,-(H88/(C93-D94)))*Exchange_Rate</f>
        <v>26.03843010827789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86782449.911427364</v>
      </c>
      <c r="D97" s="213"/>
      <c r="E97" s="123">
        <f>PV(C94,D93,0,-F93)</f>
        <v>33.253248392925748</v>
      </c>
      <c r="F97" s="213"/>
      <c r="H97" s="123">
        <f>PV(C94,D93,0,-I93)</f>
        <v>33.253248392925748</v>
      </c>
      <c r="I97" s="123">
        <f>PV(C93,D93,0,-I93)</f>
        <v>45.388750271099134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86782449.911427364</v>
      </c>
      <c r="D100" s="109">
        <f>MIN(F100*(1-C94),E100)</f>
        <v>28.265261133986886</v>
      </c>
      <c r="E100" s="109">
        <f>MAX(E97+H98+E99,0)</f>
        <v>33.253248392925748</v>
      </c>
      <c r="F100" s="109">
        <f>(E100+H100)/2</f>
        <v>33.253248392925748</v>
      </c>
      <c r="H100" s="109">
        <f>MAX(C100*Data!$C$4/Common_Shares,0)</f>
        <v>33.253248392925748</v>
      </c>
      <c r="I100" s="109">
        <f>MAX(I97+H98+H99,0)</f>
        <v>45.388750271099134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33784961.209686831</v>
      </c>
      <c r="D103" s="109">
        <f>MIN(F103*(1-C94),E103)</f>
        <v>11.003846422497352</v>
      </c>
      <c r="E103" s="123">
        <f>PV(C94,D93,0,-F94)</f>
        <v>12.945701673526298</v>
      </c>
      <c r="F103" s="109">
        <f>(E103+H103)/2</f>
        <v>12.945701673526298</v>
      </c>
      <c r="H103" s="123">
        <f>PV(C94,D93,0,-I94)</f>
        <v>12.945701673526298</v>
      </c>
      <c r="I103" s="109">
        <f>PV(C93,D93,0,-I94)</f>
        <v>17.670129949434902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60283705.56055709</v>
      </c>
      <c r="D106" s="109">
        <f>(D100+D103)/2</f>
        <v>19.634553778242118</v>
      </c>
      <c r="E106" s="123">
        <f>(E100+E103)/2</f>
        <v>23.099475033226021</v>
      </c>
      <c r="F106" s="109">
        <f>(F100+F103)/2</f>
        <v>23.099475033226021</v>
      </c>
      <c r="H106" s="123">
        <f>(H100+H103)/2</f>
        <v>23.099475033226021</v>
      </c>
      <c r="I106" s="123">
        <f>(I100+I103)/2</f>
        <v>31.529440110267018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