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EC907C3-65A6-40E6-B323-C7AE6AB5BFE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B7" i="3"/>
  <c r="M53" i="2"/>
  <c r="E92" i="4" l="1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I53" i="2"/>
  <c r="J50" i="2"/>
  <c r="D53" i="2"/>
  <c r="C53" i="2"/>
  <c r="G53" i="2"/>
  <c r="H50" i="2"/>
  <c r="E53" i="2"/>
  <c r="F50" i="2"/>
  <c r="F53" i="2"/>
  <c r="G50" i="2"/>
  <c r="K53" i="2"/>
  <c r="L50" i="2"/>
  <c r="J53" i="2"/>
  <c r="K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E50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L13" i="2"/>
  <c r="E40" i="2"/>
  <c r="G13" i="2"/>
  <c r="G59" i="2" s="1"/>
  <c r="D40" i="2"/>
  <c r="D13" i="2"/>
  <c r="G40" i="2"/>
  <c r="K56" i="2"/>
  <c r="L24" i="2"/>
  <c r="L23" i="2" s="1"/>
  <c r="M57" i="2"/>
  <c r="M56" i="2"/>
  <c r="L59" i="2" l="1"/>
  <c r="K59" i="2"/>
  <c r="D56" i="2"/>
  <c r="D59" i="2"/>
  <c r="E57" i="2"/>
  <c r="E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<sst xmlns="http://schemas.openxmlformats.org/spreadsheetml/2006/main" count="393" uniqueCount="272">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</sst>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238</v>
      </c>
    </row>
    <row r="10" spans="1:5" ht="13.9" x14ac:dyDescent="0.4">
      <c r="B10" s="140" t="s">
        <v>212</v>
      </c>
      <c r="C10" s="193">
        <v>168366700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184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241</v>
      </c>
      <c r="D17" s="24"/>
    </row>
    <row r="18" spans="2:13" ht="13.9" x14ac:dyDescent="0.4">
      <c r="B18" s="240" t="s">
        <v>233</v>
      </c>
      <c r="C18" s="242" t="s">
        <v>241</v>
      </c>
      <c r="D18" s="24"/>
    </row>
    <row r="19" spans="2:13" ht="13.9" x14ac:dyDescent="0.4">
      <c r="B19" s="240" t="s">
        <v>234</v>
      </c>
      <c r="C19" s="242" t="s">
        <v>241</v>
      </c>
      <c r="D19" s="24"/>
    </row>
    <row r="20" spans="2:13" ht="13.9" x14ac:dyDescent="0.4">
      <c r="B20" s="241" t="s">
        <v>223</v>
      </c>
      <c r="C20" s="242" t="s">
        <v>241</v>
      </c>
      <c r="D20" s="24"/>
    </row>
    <row r="21" spans="2:13" ht="13.9" x14ac:dyDescent="0.4">
      <c r="B21" s="224" t="s">
        <v>226</v>
      </c>
      <c r="C21" s="242" t="s">
        <v>241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270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102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243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251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6181.HK</v>
      </c>
      <c r="D3" s="282"/>
      <c r="E3" s="87"/>
      <c r="F3" s="3" t="s">
        <v>1</v>
      </c>
      <c r="G3" s="132">
        <v>235.2</v>
      </c>
      <c r="H3" s="134" t="s">
        <v>271</v>
      </c>
    </row>
    <row r="4" spans="1:10" ht="15.75" customHeight="1" x14ac:dyDescent="0.4">
      <c r="B4" s="35" t="s">
        <v>190</v>
      </c>
      <c r="C4" s="283" t="str">
        <f>Inputs!C5</f>
        <v>老鋪黃金</v>
      </c>
      <c r="D4" s="284"/>
      <c r="E4" s="87"/>
      <c r="F4" s="3" t="s">
        <v>2</v>
      </c>
      <c r="G4" s="287">
        <f>Inputs!C10</f>
        <v>168366700</v>
      </c>
      <c r="H4" s="287"/>
      <c r="I4" s="39"/>
    </row>
    <row r="5" spans="1:10" ht="15.75" customHeight="1" x14ac:dyDescent="0.4">
      <c r="B5" s="3" t="s">
        <v>158</v>
      </c>
      <c r="C5" s="285">
        <f>Inputs!C6</f>
        <v>45593</v>
      </c>
      <c r="D5" s="286"/>
      <c r="E5" s="34"/>
      <c r="F5" s="35" t="s">
        <v>96</v>
      </c>
      <c r="G5" s="279">
        <f>G3*G4/1000000</f>
        <v>39599.847840000002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HK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0.58108816177312361</v>
      </c>
      <c r="F20" s="87" t="s">
        <v>206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5.7183940942846252E-3</v>
      </c>
      <c r="F24" s="140" t="s">
        <v>254</v>
      </c>
      <c r="G24" s="268">
        <f>G3/(Fin_Analysis!H86*G7)</f>
        <v>88.790657510674208</v>
      </c>
    </row>
    <row r="25" spans="1:8" ht="15.75" customHeight="1" x14ac:dyDescent="0.4">
      <c r="B25" s="137" t="s">
        <v>239</v>
      </c>
      <c r="C25" s="171">
        <f>Fin_Analysis!I82</f>
        <v>0</v>
      </c>
      <c r="F25" s="140" t="s">
        <v>169</v>
      </c>
      <c r="G25" s="171">
        <f>Fin_Analysis!I88</f>
        <v>0</v>
      </c>
    </row>
    <row r="26" spans="1:8" ht="15.75" customHeight="1" x14ac:dyDescent="0.4">
      <c r="B26" s="138" t="s">
        <v>168</v>
      </c>
      <c r="C26" s="171">
        <f>Fin_Analysis!I83</f>
        <v>0.17490983040442024</v>
      </c>
      <c r="F26" s="141" t="s">
        <v>188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8">
        <f>IF(Fin_Analysis!C108="Profit",Fin_Analysis!I100,IF(Fin_Analysis!C108="Dividend",Fin_Analysis!I103,Fin_Analysis!I106))</f>
        <v>0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3.2693383105242051E-2</v>
      </c>
      <c r="D57" s="153">
        <f t="shared" si="47"/>
        <v>0.13540918736936161</v>
      </c>
      <c r="E57" s="153">
        <f t="shared" si="47"/>
        <v>7.8138494807951098E-2</v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102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92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155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1.1262446163097534E-2</v>
      </c>
      <c r="D87" s="209"/>
      <c r="E87" s="262">
        <f>E86*Exchange_Rate/Dashboard!G3</f>
        <v>1.1262446163097534E-2</v>
      </c>
      <c r="F87" s="209"/>
      <c r="H87" s="262">
        <f>H86*Exchange_Rate/Dashboard!G3</f>
        <v>1.1262446163097534E-2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216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HK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204</v>
      </c>
      <c r="F93" s="144">
        <f>FV(E87,D93,0,-(E86/(C93-D94)))*Exchange_Rate</f>
        <v>46.210183440107265</v>
      </c>
      <c r="H93" s="87" t="s">
        <v>204</v>
      </c>
      <c r="I93" s="144">
        <f>FV(H87,D93,0,-(H86/(C93-D94)))*Exchange_Rate</f>
        <v>46.210183440107265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0</v>
      </c>
      <c r="H94" s="87" t="s">
        <v>205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3868162.323707365</v>
      </c>
      <c r="D97" s="213"/>
      <c r="E97" s="123">
        <f>PV(C94,D93,0,-F93)</f>
        <v>22.974628140287628</v>
      </c>
      <c r="F97" s="213"/>
      <c r="H97" s="123">
        <f>PV(C94,D93,0,-I93)</f>
        <v>22.974628140287628</v>
      </c>
      <c r="I97" s="123">
        <f>PV(C93,D93,0,-I93)</f>
        <v>31.359031361661607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3868162.323707365</v>
      </c>
      <c r="D100" s="109">
        <f>MIN(F100*(1-C94),E100)</f>
        <v>19.528433919244485</v>
      </c>
      <c r="E100" s="109">
        <f>MAX(E97+H98+E99,0)</f>
        <v>22.974628140287628</v>
      </c>
      <c r="F100" s="109">
        <f>(E100+H100)/2</f>
        <v>22.974628140287628</v>
      </c>
      <c r="H100" s="109">
        <f>MAX(C100*Data!$C$4/Common_Shares,0)</f>
        <v>22.974628140287628</v>
      </c>
      <c r="I100" s="109">
        <f>MAX(I97+H98+H99,0)</f>
        <v>31.359031361661607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1934081.1618536825</v>
      </c>
      <c r="D106" s="109">
        <f>(D100+D103)/2</f>
        <v>9.7642169596222423</v>
      </c>
      <c r="E106" s="123">
        <f>(E100+E103)/2</f>
        <v>11.487314070143814</v>
      </c>
      <c r="F106" s="109">
        <f>(F100+F103)/2</f>
        <v>11.487314070143814</v>
      </c>
      <c r="H106" s="123">
        <f>(H100+H103)/2</f>
        <v>11.487314070143814</v>
      </c>
      <c r="I106" s="123">
        <f>(I100+I103)/2</f>
        <v>15.679515680830804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