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3B312AC-E0D3-4C18-B5E3-7A71F3194AE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7" i="3"/>
  <c r="M53" i="2"/>
  <c r="E93" i="4" l="1"/>
  <c r="F93" i="4"/>
  <c r="F94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I27" i="2" l="1"/>
  <c r="I55" i="2"/>
  <c r="M27" i="2"/>
  <c r="M55" i="2"/>
  <c r="K27" i="2"/>
  <c r="K55" i="2"/>
  <c r="J27" i="2"/>
  <c r="J55" i="2"/>
  <c r="K53" i="2"/>
  <c r="L50" i="2"/>
  <c r="J53" i="2"/>
  <c r="K50" i="2"/>
  <c r="E53" i="2"/>
  <c r="D53" i="2"/>
  <c r="H53" i="2"/>
  <c r="I50" i="2"/>
  <c r="I53" i="2"/>
  <c r="J50" i="2"/>
  <c r="G53" i="2"/>
  <c r="H50" i="2"/>
  <c r="F53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E50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55" i="2" l="1"/>
  <c r="D55" i="2"/>
  <c r="G55" i="2"/>
  <c r="E55" i="2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L13" i="2"/>
  <c r="E40" i="2"/>
  <c r="G13" i="2"/>
  <c r="D40" i="2"/>
  <c r="D13" i="2"/>
  <c r="G40" i="2"/>
  <c r="K56" i="2"/>
  <c r="L24" i="2"/>
  <c r="L23" i="2" s="1"/>
  <c r="M57" i="2"/>
  <c r="M56" i="2"/>
  <c r="G59" i="2" l="1"/>
  <c r="L59" i="2"/>
  <c r="D59" i="2"/>
  <c r="D56" i="2"/>
  <c r="E57" i="2"/>
  <c r="K59" i="2"/>
  <c r="E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1" i="2"/>
  <c r="E99" i="3"/>
  <c r="G23" i="1"/>
  <c r="E53" i="3" s="1"/>
  <c r="C27" i="2"/>
  <c r="C37" i="2"/>
  <c r="C55" i="2" s="1"/>
  <c r="C60" i="2" l="1"/>
  <c r="C59" i="2" s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<sst xmlns="http://schemas.openxmlformats.org/spreadsheetml/2006/main" count="393" uniqueCount="275">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</sst>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266</v>
      </c>
    </row>
    <row r="5" spans="1:5" ht="13.9" x14ac:dyDescent="0.4">
      <c r="B5" s="141" t="s">
        <v>190</v>
      </c>
      <c r="C5" s="191" t="s">
        <v>267</v>
      </c>
    </row>
    <row r="6" spans="1:5" ht="13.9" x14ac:dyDescent="0.4">
      <c r="B6" s="141" t="s">
        <v>158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2284983948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249</v>
      </c>
      <c r="C15" s="176" t="s">
        <v>253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270</v>
      </c>
      <c r="D18" s="24"/>
    </row>
    <row r="19" spans="2:13" ht="13.9" x14ac:dyDescent="0.4">
      <c r="B19" s="240" t="s">
        <v>234</v>
      </c>
      <c r="C19" s="242" t="s">
        <v>270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271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250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257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246</v>
      </c>
      <c r="C45" s="152">
        <f>IF(C44="","",C44*Exchange_Rate/Dashboard!$G$3)</f>
        <v>6.0753391096086219E-2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4923071</v>
      </c>
      <c r="D48" s="60">
        <v>0.9</v>
      </c>
      <c r="E48" s="112"/>
    </row>
    <row r="49" spans="2:5" ht="13.9" x14ac:dyDescent="0.4">
      <c r="B49" s="1" t="s">
        <v>131</v>
      </c>
      <c r="C49" s="59">
        <v>163001</v>
      </c>
      <c r="D49" s="60">
        <v>0.8</v>
      </c>
      <c r="E49" s="112"/>
    </row>
    <row r="50" spans="2:5" ht="13.9" x14ac:dyDescent="0.4">
      <c r="B50" s="3" t="s">
        <v>113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924658</v>
      </c>
      <c r="D51" s="60">
        <v>0.6</v>
      </c>
      <c r="E51" s="112"/>
    </row>
    <row r="52" spans="2:5" ht="13.9" x14ac:dyDescent="0.4">
      <c r="B52" s="3" t="s">
        <v>40</v>
      </c>
      <c r="C52" s="59">
        <v>43659</v>
      </c>
      <c r="D52" s="60">
        <v>0.5</v>
      </c>
      <c r="E52" s="112"/>
    </row>
    <row r="53" spans="2:5" ht="13.9" x14ac:dyDescent="0.4">
      <c r="B53" s="1" t="s">
        <v>153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255</v>
      </c>
      <c r="C54" s="59">
        <v>17580</v>
      </c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154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254</v>
      </c>
      <c r="C64" s="59">
        <v>28511</v>
      </c>
      <c r="D64" s="60">
        <v>0.4</v>
      </c>
      <c r="E64" s="112"/>
    </row>
    <row r="65" spans="2:5" ht="13.9" x14ac:dyDescent="0.4">
      <c r="B65" s="3" t="s">
        <v>66</v>
      </c>
      <c r="C65" s="59">
        <v>232091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306071</v>
      </c>
      <c r="D70" s="60">
        <v>0.05</v>
      </c>
      <c r="E70" s="112"/>
    </row>
    <row r="71" spans="2:5" ht="13.9" x14ac:dyDescent="0.4">
      <c r="B71" s="3" t="s">
        <v>71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>
        <v>270468</v>
      </c>
    </row>
    <row r="74" spans="2:5" ht="13.9" x14ac:dyDescent="0.4">
      <c r="B74" s="3" t="s">
        <v>36</v>
      </c>
      <c r="C74" s="59">
        <v>18682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74975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75530</v>
      </c>
    </row>
    <row r="83" spans="2:8" ht="14.25" thickTop="1" x14ac:dyDescent="0.4">
      <c r="B83" s="73" t="s">
        <v>215</v>
      </c>
      <c r="C83" s="59">
        <v>8486660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102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242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250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241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202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9959.HK</v>
      </c>
      <c r="D3" s="282"/>
      <c r="E3" s="87"/>
      <c r="F3" s="3" t="s">
        <v>1</v>
      </c>
      <c r="G3" s="132">
        <v>1.76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聯易融科技－Ｗ</v>
      </c>
      <c r="D4" s="284"/>
      <c r="E4" s="87"/>
      <c r="F4" s="3" t="s">
        <v>2</v>
      </c>
      <c r="G4" s="287">
        <f>Inputs!C10</f>
        <v>2284983948</v>
      </c>
      <c r="H4" s="287"/>
      <c r="I4" s="39"/>
    </row>
    <row r="5" spans="1:10" ht="15.75" customHeight="1" x14ac:dyDescent="0.4">
      <c r="B5" s="3" t="s">
        <v>158</v>
      </c>
      <c r="C5" s="285">
        <f>Inputs!C6</f>
        <v>45593</v>
      </c>
      <c r="D5" s="286"/>
      <c r="E5" s="34"/>
      <c r="F5" s="35" t="s">
        <v>96</v>
      </c>
      <c r="G5" s="279">
        <f>G3*G4/1000000</f>
        <v>4021.5717484800002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0.39325092997635303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3.1621500776708874E-3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0.44335471991089404</v>
      </c>
    </row>
    <row r="24" spans="1:8" ht="15.75" customHeight="1" x14ac:dyDescent="0.4">
      <c r="B24" s="137" t="s">
        <v>165</v>
      </c>
      <c r="C24" s="171">
        <f>Fin_Analysis!I81</f>
        <v>9.5705744879944314E-3</v>
      </c>
      <c r="F24" s="140" t="s">
        <v>252</v>
      </c>
      <c r="G24" s="268">
        <f>G3/(Fin_Analysis!H86*G7)</f>
        <v>-25.580100209440925</v>
      </c>
    </row>
    <row r="25" spans="1:8" ht="15.75" customHeight="1" x14ac:dyDescent="0.4">
      <c r="B25" s="137" t="s">
        <v>238</v>
      </c>
      <c r="C25" s="171">
        <f>Fin_Analysis!I82</f>
        <v>1.5672463941809065E-4</v>
      </c>
      <c r="F25" s="140" t="s">
        <v>169</v>
      </c>
      <c r="G25" s="171">
        <f>Fin_Analysis!I88</f>
        <v>-1.5540778323012416</v>
      </c>
    </row>
    <row r="26" spans="1:8" ht="15.75" customHeight="1" x14ac:dyDescent="0.4">
      <c r="B26" s="138" t="s">
        <v>168</v>
      </c>
      <c r="C26" s="171">
        <f>Fin_Analysis!I83</f>
        <v>-0.22591626294706857</v>
      </c>
      <c r="F26" s="141" t="s">
        <v>188</v>
      </c>
      <c r="G26" s="178">
        <f>Fin_Analysis!H88*Exchange_Rate/G3</f>
        <v>6.0753391096086219E-2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251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0.91600781186000568</v>
      </c>
      <c r="D29" s="129">
        <f>G29*(1+G20)</f>
        <v>1.6482320187408581</v>
      </c>
      <c r="E29" s="87"/>
      <c r="F29" s="131">
        <f>IF(Fin_Analysis!C108="Profit",Fin_Analysis!F100,IF(Fin_Analysis!C108="Dividend",Fin_Analysis!F103,Fin_Analysis!F106))</f>
        <v>1.0776562492470656</v>
      </c>
      <c r="G29" s="278">
        <f>IF(Fin_Analysis!C108="Profit",Fin_Analysis!I100,IF(Fin_Analysis!C108="Dividend",Fin_Analysis!I103,Fin_Analysis!I106))</f>
        <v>1.4332452336877028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disagree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disagree</v>
      </c>
    </row>
    <row r="37" spans="1:3" ht="15.75" customHeight="1" x14ac:dyDescent="0.4">
      <c r="A37"/>
      <c r="B37" s="20" t="s">
        <v>234</v>
      </c>
      <c r="C37" s="245" t="str">
        <f>Inputs!C19</f>
        <v>disagree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250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261</v>
      </c>
      <c r="C50" s="272">
        <f>IF(C6="","",C6/C39)</f>
        <v>0.26325011800938491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2.9689523879764543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256</v>
      </c>
      <c r="C53" s="153">
        <f>IF(D6="","",C16/(C6-D6))</f>
        <v>4.4812531008576082</v>
      </c>
      <c r="D53" s="153">
        <f t="shared" ref="D53:M53" si="44">IF(E6="","",D16/(D6-E6))</f>
        <v>-5.819015167285702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262</v>
      </c>
      <c r="C55" s="156">
        <f>IF(C36="","",(C36-C37)/C27)</f>
        <v>0.891610977707887</v>
      </c>
      <c r="D55" s="156">
        <f t="shared" ref="D55:M55" si="45">IF(D36="","",(D36-D37)/D27)</f>
        <v>-6.4657579830726294E-5</v>
      </c>
      <c r="E55" s="156">
        <f t="shared" si="45"/>
        <v>6.3761964366470809E-4</v>
      </c>
      <c r="F55" s="156">
        <f t="shared" si="45"/>
        <v>1.0449203297137567E-3</v>
      </c>
      <c r="G55" s="156">
        <f t="shared" si="45"/>
        <v>1.2828702352096703E-3</v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-0.53839203570202543</v>
      </c>
      <c r="D56" s="157">
        <f t="shared" si="46"/>
        <v>-28.169831951149764</v>
      </c>
      <c r="E56" s="157">
        <f t="shared" si="46"/>
        <v>0.34666952040489135</v>
      </c>
      <c r="F56" s="157">
        <f t="shared" si="46"/>
        <v>0.13256467959853904</v>
      </c>
      <c r="G56" s="157">
        <f t="shared" si="46"/>
        <v>0.1488859647249248</v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-4.2363371114353045E-2</v>
      </c>
      <c r="D57" s="153">
        <f t="shared" si="47"/>
        <v>-1.8081800440937962E-2</v>
      </c>
      <c r="E57" s="153">
        <f t="shared" si="47"/>
        <v>0.31017316762488378</v>
      </c>
      <c r="F57" s="153">
        <f t="shared" si="47"/>
        <v>0.38388895116596355</v>
      </c>
      <c r="G57" s="153">
        <f t="shared" si="47"/>
        <v>0.67547153335661891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9.0125804646393277</v>
      </c>
      <c r="D58" s="158">
        <f t="shared" si="48"/>
        <v>5.7272795295805388</v>
      </c>
      <c r="E58" s="158">
        <f t="shared" si="48"/>
        <v>5.5416670782714181</v>
      </c>
      <c r="F58" s="158">
        <f t="shared" si="48"/>
        <v>0.61146228461091978</v>
      </c>
      <c r="G58" s="158">
        <f t="shared" si="48"/>
        <v>0.55054248818999008</v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263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264</v>
      </c>
      <c r="C60" s="274">
        <f>IF(C14="","",C14/(C36-C37))</f>
        <v>-2.2105398354594151E-2</v>
      </c>
      <c r="D60" s="274">
        <f t="shared" ref="D60:M60" si="50">IF(D14="","",D14/(D36-D37))</f>
        <v>-18.238651102464331</v>
      </c>
      <c r="E60" s="274">
        <f t="shared" si="50"/>
        <v>75.82002922034799</v>
      </c>
      <c r="F60" s="274">
        <f t="shared" si="50"/>
        <v>78.938864628820966</v>
      </c>
      <c r="G60" s="274">
        <f t="shared" si="50"/>
        <v>55.523976849937988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265</v>
      </c>
      <c r="C61" s="274">
        <f>IF(C22="","",C22/(C36-C37))</f>
        <v>-2.3100018146125802E-2</v>
      </c>
      <c r="D61" s="274">
        <f t="shared" ref="D61:M61" si="51">IF(D22="","",D22/(D36-D37))</f>
        <v>2172</v>
      </c>
      <c r="E61" s="274">
        <f t="shared" si="51"/>
        <v>57.870235090981538</v>
      </c>
      <c r="F61" s="274">
        <f t="shared" si="51"/>
        <v>57.04132875857767</v>
      </c>
      <c r="G61" s="274">
        <f t="shared" si="51"/>
        <v>33.139313766019015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8486660</v>
      </c>
      <c r="K3" s="24"/>
    </row>
    <row r="4" spans="1:11" ht="15" customHeight="1" x14ac:dyDescent="0.4">
      <c r="B4" s="3" t="s">
        <v>23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9.0125804646393277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5850393.1500000004</v>
      </c>
      <c r="E6" s="56">
        <f>1-D6/D3</f>
        <v>0.31035791080073138</v>
      </c>
      <c r="F6" s="87"/>
      <c r="G6" s="87"/>
      <c r="H6" s="1" t="s">
        <v>26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2.7376951738207671</v>
      </c>
      <c r="E7" s="11" t="str">
        <f>Dashboard!H3</f>
        <v>HKD</v>
      </c>
      <c r="H7" s="1" t="s">
        <v>27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35</v>
      </c>
      <c r="I11" s="40">
        <f>Inputs!C73</f>
        <v>270468</v>
      </c>
      <c r="J11" s="87"/>
      <c r="K11" s="24"/>
    </row>
    <row r="12" spans="1:11" ht="13.9" x14ac:dyDescent="0.4">
      <c r="B12" s="1" t="s">
        <v>131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36</v>
      </c>
      <c r="I12" s="40">
        <f>Inputs!C74</f>
        <v>18682</v>
      </c>
      <c r="J12" s="87"/>
      <c r="K12" s="24"/>
    </row>
    <row r="13" spans="1:11" ht="13.9" x14ac:dyDescent="0.4">
      <c r="B13" s="3" t="s">
        <v>113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50</v>
      </c>
      <c r="I15" s="84">
        <f>SUM(I11:I14)</f>
        <v>289150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51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52</v>
      </c>
      <c r="I25" s="63">
        <f>E28/I28</f>
        <v>6.9669398061449606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60</v>
      </c>
      <c r="I31" s="40">
        <f>Inputs!C79</f>
        <v>74975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74</v>
      </c>
      <c r="I34" s="84">
        <f>SUM(I30:I33)</f>
        <v>74975</v>
      </c>
      <c r="J34" s="87"/>
    </row>
    <row r="35" spans="2:10" ht="13.9" x14ac:dyDescent="0.4">
      <c r="B35" s="3" t="s">
        <v>66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77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79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81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82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364125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102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92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167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227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250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121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155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-3.9092888292553564E-2</v>
      </c>
      <c r="D87" s="209"/>
      <c r="E87" s="262">
        <f>E86*Exchange_Rate/Dashboard!G3</f>
        <v>-3.9092888292553564E-2</v>
      </c>
      <c r="F87" s="209"/>
      <c r="H87" s="262">
        <f>H86*Exchange_Rate/Dashboard!G3</f>
        <v>-3.9092888292553564E-2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216</v>
      </c>
      <c r="C89" s="261">
        <f>C88*Exchange_Rate/Dashboard!G3</f>
        <v>6.0753391096086219E-2</v>
      </c>
      <c r="D89" s="209"/>
      <c r="E89" s="261">
        <f>E88*Exchange_Rate/Dashboard!G3</f>
        <v>6.0753391096086219E-2</v>
      </c>
      <c r="F89" s="209"/>
      <c r="H89" s="261">
        <f>H88*Exchange_Rate/Dashboard!G3</f>
        <v>6.0753391096086219E-2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-0.85080803329654275</v>
      </c>
      <c r="H93" s="87" t="s">
        <v>204</v>
      </c>
      <c r="I93" s="144">
        <f>FV(H87,D93,0,-(H86/(C93-D94)))*Exchange_Rate</f>
        <v>-0.85080803329654275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2.1675516425773762</v>
      </c>
      <c r="H94" s="87" t="s">
        <v>205</v>
      </c>
      <c r="I94" s="144">
        <f>FV(H89,D93,0,-(H88/(C93-D94)))*Exchange_Rate</f>
        <v>2.1675516425773762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-966552.68939498113</v>
      </c>
      <c r="D97" s="213"/>
      <c r="E97" s="123">
        <f>PV(C94,D93,0,-F93)</f>
        <v>-0.42300196035993387</v>
      </c>
      <c r="F97" s="213"/>
      <c r="H97" s="123">
        <f>PV(C94,D93,0,-I93)</f>
        <v>-0.42300196035993387</v>
      </c>
      <c r="I97" s="123">
        <f>PV(C93,D93,0,-I93)</f>
        <v>-0.5625778572248934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5052874.8473160472</v>
      </c>
      <c r="D99" s="214"/>
      <c r="E99" s="145">
        <f>IF(H99&gt;0,H99*(1-C94),H99*(1+C94))</f>
        <v>1.8796384210829651</v>
      </c>
      <c r="F99" s="214"/>
      <c r="H99" s="145">
        <f>C99*Data!$C$4/Common_Shares</f>
        <v>2.2113393189211354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4086322.157921066</v>
      </c>
      <c r="D100" s="109">
        <f>MIN(F100*(1-C94),E100)</f>
        <v>1.3791138731957988</v>
      </c>
      <c r="E100" s="109">
        <f>MAX(E97+H98+E99,0)</f>
        <v>1.4566364607230313</v>
      </c>
      <c r="F100" s="109">
        <f>(E100+H100)/2</f>
        <v>1.6224869096421164</v>
      </c>
      <c r="H100" s="109">
        <f>MAX(C100*Data!$C$4/Common_Shares,0)</f>
        <v>1.7883373585612015</v>
      </c>
      <c r="I100" s="109">
        <f>MAX(I97+H98+H99,0)</f>
        <v>1.648761461696242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2462427.230991432</v>
      </c>
      <c r="D103" s="109">
        <f>MIN(F103*(1-C94),E103)</f>
        <v>0.91600781186000568</v>
      </c>
      <c r="E103" s="123">
        <f>PV(C94,D93,0,-F94)</f>
        <v>1.0776562492470656</v>
      </c>
      <c r="F103" s="109">
        <f>(E103+H103)/2</f>
        <v>1.0776562492470656</v>
      </c>
      <c r="H103" s="123">
        <f>PV(C94,D93,0,-I94)</f>
        <v>1.0776562492470656</v>
      </c>
      <c r="I103" s="109">
        <f>PV(C93,D93,0,-I94)</f>
        <v>1.4332452336877028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2895409.0809075451</v>
      </c>
      <c r="D106" s="109">
        <f>(D100+D103)/2</f>
        <v>1.1475608425279022</v>
      </c>
      <c r="E106" s="123">
        <f>(E100+E103)/2</f>
        <v>1.2671463549850484</v>
      </c>
      <c r="F106" s="109">
        <f>(F100+F103)/2</f>
        <v>1.350071579444591</v>
      </c>
      <c r="H106" s="123">
        <f>(H100+H103)/2</f>
        <v>1.4329968039041336</v>
      </c>
      <c r="I106" s="123">
        <f>(I100+I103)/2</f>
        <v>1.5410033476919724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