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3BBEE6D-9E43-437C-B94B-5FD3BC20096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D27" i="4"/>
  <c r="C27" i="4"/>
  <c r="B7" i="3"/>
  <c r="M53" i="2"/>
  <c r="F95" i="4" l="1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K53" i="2"/>
  <c r="L50" i="2"/>
  <c r="G53" i="2"/>
  <c r="H50" i="2"/>
  <c r="E53" i="2"/>
  <c r="F50" i="2"/>
  <c r="F53" i="2"/>
  <c r="G50" i="2"/>
  <c r="I53" i="2"/>
  <c r="J50" i="2"/>
  <c r="D53" i="2"/>
  <c r="E50" i="2"/>
  <c r="C53" i="2"/>
  <c r="H53" i="2"/>
  <c r="I50" i="2"/>
  <c r="J53" i="2"/>
  <c r="K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L15" i="2" l="1"/>
  <c r="M60" i="2"/>
  <c r="E22" i="2"/>
  <c r="E61" i="2" s="1"/>
  <c r="E60" i="2"/>
  <c r="F22" i="2"/>
  <c r="F61" i="2" s="1"/>
  <c r="F60" i="2"/>
  <c r="K15" i="2"/>
  <c r="L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L59" i="2" l="1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37" i="2"/>
  <c r="C55" i="2" s="1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<sst xmlns="http://schemas.openxmlformats.org/spreadsheetml/2006/main" count="393" uniqueCount="273">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</sst>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0.38675293231140062</c:v>
                </c:pt>
                <c:pt idx="1">
                  <c:v>0.43040868738019761</c:v>
                </c:pt>
                <c:pt idx="2">
                  <c:v>1.3599953361915031E-3</c:v>
                </c:pt>
                <c:pt idx="3">
                  <c:v>0</c:v>
                </c:pt>
                <c:pt idx="4">
                  <c:v>5.1320409039705113E-3</c:v>
                </c:pt>
                <c:pt idx="5">
                  <c:v>0</c:v>
                </c:pt>
                <c:pt idx="6">
                  <c:v>0.17634634406823974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1342943150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6301002</v>
      </c>
      <c r="D25" s="149">
        <v>4617324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2436931</v>
      </c>
      <c r="D26" s="150">
        <v>1962781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2004706+707300</f>
        <v>2712006</v>
      </c>
      <c r="D27" s="150">
        <f>1470753+686280</f>
        <v>2157033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32337</v>
      </c>
      <c r="D29" s="150">
        <v>38579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6427</v>
      </c>
      <c r="D30" s="150">
        <v>141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0.28210000000000002</v>
      </c>
      <c r="D44" s="250">
        <v>8.6999999999999994E-2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3.2191905726406001E-3</v>
      </c>
      <c r="D45" s="152">
        <f>IF(D44="","",D44*Exchange_Rate/Dashboard!$G$3)</f>
        <v>9.928024807505573E-4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6301002</v>
      </c>
      <c r="D91" s="209"/>
      <c r="E91" s="251">
        <f>C91</f>
        <v>6301002</v>
      </c>
      <c r="F91" s="251">
        <f>C91</f>
        <v>6301002</v>
      </c>
    </row>
    <row r="92" spans="2:8" ht="13.9" x14ac:dyDescent="0.4">
      <c r="B92" s="104" t="s">
        <v>102</v>
      </c>
      <c r="C92" s="77">
        <f>C26</f>
        <v>2436931</v>
      </c>
      <c r="D92" s="159">
        <f>C92/C91</f>
        <v>0.38675293231140062</v>
      </c>
      <c r="E92" s="252">
        <f>E91*D92</f>
        <v>2436931</v>
      </c>
      <c r="F92" s="252">
        <f>F91*D92</f>
        <v>2436931</v>
      </c>
    </row>
    <row r="93" spans="2:8" ht="13.9" x14ac:dyDescent="0.4">
      <c r="B93" s="104" t="s">
        <v>242</v>
      </c>
      <c r="C93" s="77">
        <f>C27+C28</f>
        <v>2712006</v>
      </c>
      <c r="D93" s="159">
        <f>C93/C91</f>
        <v>0.43040868738019761</v>
      </c>
      <c r="E93" s="252">
        <f>E91*D93</f>
        <v>2712006</v>
      </c>
      <c r="F93" s="252">
        <f>F91*D93</f>
        <v>2712006</v>
      </c>
    </row>
    <row r="94" spans="2:8" ht="13.9" x14ac:dyDescent="0.4">
      <c r="B94" s="104" t="s">
        <v>251</v>
      </c>
      <c r="C94" s="77">
        <f>C29</f>
        <v>32337</v>
      </c>
      <c r="D94" s="159">
        <f>C94/C91</f>
        <v>5.1320409039705113E-3</v>
      </c>
      <c r="E94" s="253"/>
      <c r="F94" s="252">
        <f>F91*D94</f>
        <v>32337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8569.3333333333339</v>
      </c>
      <c r="D97" s="159">
        <f>C97/C91</f>
        <v>1.3599953361915031E-3</v>
      </c>
      <c r="E97" s="253"/>
      <c r="F97" s="252">
        <f>F91*D97</f>
        <v>8569.3333333333339</v>
      </c>
    </row>
    <row r="98" spans="2:7" ht="13.9" x14ac:dyDescent="0.4">
      <c r="B98" s="86" t="s">
        <v>202</v>
      </c>
      <c r="C98" s="237">
        <f>C44</f>
        <v>0.28210000000000002</v>
      </c>
      <c r="D98" s="266"/>
      <c r="E98" s="254">
        <f>F98</f>
        <v>0.28210000000000002</v>
      </c>
      <c r="F98" s="254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9992.HK</v>
      </c>
      <c r="D3" s="282"/>
      <c r="E3" s="87"/>
      <c r="F3" s="3" t="s">
        <v>1</v>
      </c>
      <c r="G3" s="132">
        <v>93.7</v>
      </c>
      <c r="H3" s="134" t="s">
        <v>272</v>
      </c>
    </row>
    <row r="4" spans="1:10" ht="15.75" customHeight="1" x14ac:dyDescent="0.4">
      <c r="B4" s="35" t="s">
        <v>190</v>
      </c>
      <c r="C4" s="283" t="str">
        <f>Inputs!C5</f>
        <v>POP MART</v>
      </c>
      <c r="D4" s="284"/>
      <c r="E4" s="87"/>
      <c r="F4" s="3" t="s">
        <v>2</v>
      </c>
      <c r="G4" s="287">
        <f>Inputs!C10</f>
        <v>1342943150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45630</v>
      </c>
      <c r="D5" s="286"/>
      <c r="E5" s="34"/>
      <c r="F5" s="35" t="s">
        <v>96</v>
      </c>
      <c r="G5" s="279">
        <f>G3*G4/1000000</f>
        <v>125833.773155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0.38675293231140062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0.43040868738019761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1.3599953361915031E-3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5.1320409039705113E-3</v>
      </c>
      <c r="F24" s="140" t="s">
        <v>254</v>
      </c>
      <c r="G24" s="268">
        <f>G3/(Fin_Analysis!H86*G7)</f>
        <v>141.21365239850533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0.45459365852941497</v>
      </c>
    </row>
    <row r="26" spans="1:8" ht="15.75" customHeight="1" x14ac:dyDescent="0.4">
      <c r="B26" s="138" t="s">
        <v>168</v>
      </c>
      <c r="C26" s="171">
        <f>Fin_Analysis!I83</f>
        <v>0.17634634406823974</v>
      </c>
      <c r="F26" s="141" t="s">
        <v>188</v>
      </c>
      <c r="G26" s="178">
        <f>Fin_Analysis!H88*Exchange_Rate/G3</f>
        <v>3.2191905726406001E-3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4.3845978681094389</v>
      </c>
      <c r="D29" s="129">
        <f>G29*(1+G20)</f>
        <v>7.8894901352930455</v>
      </c>
      <c r="E29" s="87"/>
      <c r="F29" s="131">
        <f>IF(Fin_Analysis!C108="Profit",Fin_Analysis!F100,IF(Fin_Analysis!C108="Dividend",Fin_Analysis!F103,Fin_Analysis!F106))</f>
        <v>5.1583504330699279</v>
      </c>
      <c r="G29" s="278">
        <f>IF(Fin_Analysis!C108="Profit",Fin_Analysis!I100,IF(Fin_Analysis!C108="Dividend",Fin_Analysis!I103,Fin_Analysis!I106))</f>
        <v>6.860426204602649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6301002</v>
      </c>
      <c r="D6" s="200">
        <f>IF(Inputs!D25="","",Inputs!D25)</f>
        <v>4617324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2436931</v>
      </c>
      <c r="D8" s="199">
        <f>IF(Inputs!D26="","",Inputs!D26)</f>
        <v>1962781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3864071</v>
      </c>
      <c r="D9" s="151">
        <f t="shared" si="2"/>
        <v>2654543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2712006</v>
      </c>
      <c r="D10" s="199">
        <f>IF(Inputs!D27="","",Inputs!D27)</f>
        <v>2157033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8569.3333333333339</v>
      </c>
      <c r="D12" s="199">
        <f>IF(Inputs!D30="","",MAX(Inputs!D30,0)/(1-Fin_Analysis!$I$84))</f>
        <v>188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0.18147838497221025</v>
      </c>
      <c r="D13" s="229">
        <f t="shared" si="3"/>
        <v>0.10770784116514241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1143495.6666666667</v>
      </c>
      <c r="D14" s="230">
        <f t="shared" ref="D14:M14" si="4">IF(D6="","",D9-D10-MAX(D11,0)-MAX(D12,0))</f>
        <v>497322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1.2993064185108778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32337</v>
      </c>
      <c r="D17" s="199">
        <f>IF(Inputs!D29="","",Inputs!D29)</f>
        <v>38579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1111158.6666666667</v>
      </c>
      <c r="D22" s="161">
        <f t="shared" ref="D22:M22" si="8">IF(D6="","",D14-MAX(D16,0)-MAX(D17,0)-ABS(MAX(D21,0)-MAX(D19,0)))</f>
        <v>458743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0.13225975805117979</v>
      </c>
      <c r="D23" s="153">
        <f t="shared" si="9"/>
        <v>7.4514426537968748E-2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1.4221811922289096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0.38675293231140062</v>
      </c>
      <c r="D42" s="156">
        <f t="shared" si="34"/>
        <v>0.42509059359923629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0.43040868738019761</v>
      </c>
      <c r="D43" s="153">
        <f t="shared" si="35"/>
        <v>0.46716084901124549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5.1320409039705113E-3</v>
      </c>
      <c r="D45" s="153">
        <f t="shared" si="37"/>
        <v>8.3552724478507465E-3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1.3599953361915031E-3</v>
      </c>
      <c r="D46" s="153">
        <f t="shared" ref="D46:M46" si="38">IF(D6="","",MAX(D12,0)/D6)</f>
        <v>4.0716224375850603E-5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0.17634634406823974</v>
      </c>
      <c r="D48" s="153">
        <f t="shared" si="40"/>
        <v>9.9352568717291659E-2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2.9102054432070305E-2</v>
      </c>
      <c r="D57" s="153">
        <f t="shared" si="47"/>
        <v>8.4097196033508959E-2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6301002</v>
      </c>
      <c r="D74" s="209"/>
      <c r="E74" s="238">
        <f>Inputs!E91</f>
        <v>6301002</v>
      </c>
      <c r="F74" s="209"/>
      <c r="H74" s="238">
        <f>Inputs!F91</f>
        <v>6301002</v>
      </c>
      <c r="I74" s="209"/>
      <c r="K74" s="24"/>
    </row>
    <row r="75" spans="1:11" ht="15" customHeight="1" x14ac:dyDescent="0.4">
      <c r="B75" s="104" t="s">
        <v>102</v>
      </c>
      <c r="C75" s="77">
        <f>Data!C8</f>
        <v>2436931</v>
      </c>
      <c r="D75" s="159">
        <f>C75/$C$74</f>
        <v>0.38675293231140062</v>
      </c>
      <c r="E75" s="238">
        <f>Inputs!E92</f>
        <v>2436931</v>
      </c>
      <c r="F75" s="160">
        <f>E75/E74</f>
        <v>0.38675293231140062</v>
      </c>
      <c r="H75" s="238">
        <f>Inputs!F92</f>
        <v>2436931</v>
      </c>
      <c r="I75" s="160">
        <f>H75/$H$74</f>
        <v>0.38675293231140062</v>
      </c>
      <c r="K75" s="24"/>
    </row>
    <row r="76" spans="1:11" ht="15" customHeight="1" x14ac:dyDescent="0.4">
      <c r="B76" s="35" t="s">
        <v>92</v>
      </c>
      <c r="C76" s="161">
        <f>C74-C75</f>
        <v>3864071</v>
      </c>
      <c r="D76" s="210"/>
      <c r="E76" s="162">
        <f>E74-E75</f>
        <v>3864071</v>
      </c>
      <c r="F76" s="210"/>
      <c r="H76" s="162">
        <f>H74-H75</f>
        <v>3864071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2712006</v>
      </c>
      <c r="D77" s="159">
        <f>C77/$C$74</f>
        <v>0.43040868738019761</v>
      </c>
      <c r="E77" s="238">
        <f>Inputs!E93</f>
        <v>2712006</v>
      </c>
      <c r="F77" s="160">
        <f>E77/E74</f>
        <v>0.43040868738019761</v>
      </c>
      <c r="H77" s="238">
        <f>Inputs!F93</f>
        <v>2712006</v>
      </c>
      <c r="I77" s="160">
        <f>H77/$H$74</f>
        <v>0.43040868738019761</v>
      </c>
      <c r="K77" s="24"/>
    </row>
    <row r="78" spans="1:11" ht="15" customHeight="1" x14ac:dyDescent="0.4">
      <c r="B78" s="73" t="s">
        <v>167</v>
      </c>
      <c r="C78" s="77">
        <f>MAX(Data!C12,0)</f>
        <v>8569.3333333333339</v>
      </c>
      <c r="D78" s="159">
        <f>C78/$C$74</f>
        <v>1.3599953361915031E-3</v>
      </c>
      <c r="E78" s="180">
        <f>E74*F78</f>
        <v>8569.3333333333339</v>
      </c>
      <c r="F78" s="160">
        <f>I78</f>
        <v>1.3599953361915031E-3</v>
      </c>
      <c r="H78" s="238">
        <f>Inputs!F97</f>
        <v>8569.3333333333339</v>
      </c>
      <c r="I78" s="160">
        <f>H78/$H$74</f>
        <v>1.3599953361915031E-3</v>
      </c>
      <c r="K78" s="24"/>
    </row>
    <row r="79" spans="1:11" ht="15" customHeight="1" x14ac:dyDescent="0.4">
      <c r="B79" s="256" t="s">
        <v>227</v>
      </c>
      <c r="C79" s="257">
        <f>C76-C77-C78</f>
        <v>1143495.6666666667</v>
      </c>
      <c r="D79" s="258">
        <f>C79/C74</f>
        <v>0.18147838497221025</v>
      </c>
      <c r="E79" s="259">
        <f>E76-E77-E78</f>
        <v>1143495.6666666667</v>
      </c>
      <c r="F79" s="258">
        <f>E79/E74</f>
        <v>0.18147838497221025</v>
      </c>
      <c r="G79" s="260"/>
      <c r="H79" s="259">
        <f>H76-H77-H78</f>
        <v>1143495.6666666667</v>
      </c>
      <c r="I79" s="258">
        <f>H79/H74</f>
        <v>0.18147838497221025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32337</v>
      </c>
      <c r="D81" s="159">
        <f>C81/$C$74</f>
        <v>5.1320409039705113E-3</v>
      </c>
      <c r="E81" s="180">
        <f>E74*F81</f>
        <v>32337</v>
      </c>
      <c r="F81" s="160">
        <f>I81</f>
        <v>5.1320409039705113E-3</v>
      </c>
      <c r="H81" s="238">
        <f>Inputs!F94</f>
        <v>32337</v>
      </c>
      <c r="I81" s="160">
        <f>H81/$H$74</f>
        <v>5.1320409039705113E-3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1111158.6666666667</v>
      </c>
      <c r="D83" s="164">
        <f>C83/$C$74</f>
        <v>0.17634634406823974</v>
      </c>
      <c r="E83" s="165">
        <f>E79-E81-E82-E80</f>
        <v>1111158.6666666667</v>
      </c>
      <c r="F83" s="164">
        <f>E83/E74</f>
        <v>0.17634634406823974</v>
      </c>
      <c r="H83" s="165">
        <f>H79-H81-H82-H80</f>
        <v>1111158.6666666667</v>
      </c>
      <c r="I83" s="164">
        <f>H83/$H$74</f>
        <v>0.17634634406823974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833369</v>
      </c>
      <c r="D85" s="258">
        <f>C85/$C$74</f>
        <v>0.13225975805117979</v>
      </c>
      <c r="E85" s="264">
        <f>E83*(1-F84)</f>
        <v>833369</v>
      </c>
      <c r="F85" s="258">
        <f>E85/E74</f>
        <v>0.13225975805117979</v>
      </c>
      <c r="G85" s="260"/>
      <c r="H85" s="264">
        <f>H83*(1-I84)</f>
        <v>833369</v>
      </c>
      <c r="I85" s="258">
        <f>H85/$H$74</f>
        <v>0.13225975805117979</v>
      </c>
      <c r="K85" s="24"/>
    </row>
    <row r="86" spans="1:11" ht="15" customHeight="1" x14ac:dyDescent="0.4">
      <c r="B86" s="87" t="s">
        <v>155</v>
      </c>
      <c r="C86" s="167">
        <f>C85*Data!C4/Common_Shares</f>
        <v>0.62055419099460762</v>
      </c>
      <c r="D86" s="209"/>
      <c r="E86" s="168">
        <f>E85*Data!C4/Common_Shares</f>
        <v>0.62055419099460762</v>
      </c>
      <c r="F86" s="209"/>
      <c r="H86" s="168">
        <f>H85*Data!C4/Common_Shares</f>
        <v>0.62055419099460762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7.0814682788459945E-3</v>
      </c>
      <c r="D87" s="209"/>
      <c r="E87" s="262">
        <f>E86*Exchange_Rate/Dashboard!G3</f>
        <v>7.0814682788459945E-3</v>
      </c>
      <c r="F87" s="209"/>
      <c r="H87" s="262">
        <f>H86*Exchange_Rate/Dashboard!G3</f>
        <v>7.0814682788459945E-3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0.28210000000000002</v>
      </c>
      <c r="D88" s="166">
        <f>C88/C86</f>
        <v>0.45459365852941497</v>
      </c>
      <c r="E88" s="170">
        <f>Inputs!E98</f>
        <v>0.28210000000000002</v>
      </c>
      <c r="F88" s="166">
        <f>E88/E86</f>
        <v>0.45459365852941497</v>
      </c>
      <c r="H88" s="170">
        <f>Inputs!F98</f>
        <v>0.28210000000000002</v>
      </c>
      <c r="I88" s="166">
        <f>H88/H86</f>
        <v>0.45459365852941497</v>
      </c>
      <c r="K88" s="24"/>
    </row>
    <row r="89" spans="1:11" ht="15" customHeight="1" x14ac:dyDescent="0.4">
      <c r="B89" s="87" t="s">
        <v>216</v>
      </c>
      <c r="C89" s="261">
        <f>C88*Exchange_Rate/Dashboard!G3</f>
        <v>3.2191905726406001E-3</v>
      </c>
      <c r="D89" s="209"/>
      <c r="E89" s="261">
        <f>E88*Exchange_Rate/Dashboard!G3</f>
        <v>3.2191905726406001E-3</v>
      </c>
      <c r="F89" s="209"/>
      <c r="H89" s="261">
        <f>H88*Exchange_Rate/Dashboard!G3</f>
        <v>3.2191905726406001E-3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10.375285219198934</v>
      </c>
      <c r="H93" s="87" t="s">
        <v>204</v>
      </c>
      <c r="I93" s="144">
        <f>FV(H87,D93,0,-(H86/(C93-D94)))*Exchange_Rate</f>
        <v>10.375285219198934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4.6267874766582118</v>
      </c>
      <c r="H94" s="87" t="s">
        <v>205</v>
      </c>
      <c r="I94" s="144">
        <f>FV(H89,D93,0,-(H88/(C93-D94)))*Exchange_Rate</f>
        <v>4.6267874766582118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6927371.3793907929</v>
      </c>
      <c r="D97" s="213"/>
      <c r="E97" s="123">
        <f>PV(C94,D93,0,-F93)</f>
        <v>5.1583504330699279</v>
      </c>
      <c r="F97" s="213"/>
      <c r="H97" s="123">
        <f>PV(C94,D93,0,-I93)</f>
        <v>5.1583504330699279</v>
      </c>
      <c r="I97" s="123">
        <f>PV(C93,D93,0,-I93)</f>
        <v>6.860426204602649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6927371.3793907929</v>
      </c>
      <c r="D100" s="109">
        <f>MIN(F100*(1-C94),E100)</f>
        <v>4.3845978681094389</v>
      </c>
      <c r="E100" s="109">
        <f>MAX(E97+H98+E99,0)</f>
        <v>5.1583504330699279</v>
      </c>
      <c r="F100" s="109">
        <f>(E100+H100)/2</f>
        <v>5.1583504330699279</v>
      </c>
      <c r="H100" s="109">
        <f>MAX(C100*Data!$C$4/Common_Shares,0)</f>
        <v>5.1583504330699279</v>
      </c>
      <c r="I100" s="109">
        <f>MAX(I97+H98+H99,0)</f>
        <v>6.860426204602649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3089213.8834907622</v>
      </c>
      <c r="D103" s="109">
        <f>MIN(F103*(1-C94),E103)</f>
        <v>1.9552814286793507</v>
      </c>
      <c r="E103" s="123">
        <f>PV(C94,D93,0,-F94)</f>
        <v>2.3003310925639422</v>
      </c>
      <c r="F103" s="109">
        <f>(E103+H103)/2</f>
        <v>2.3003310925639422</v>
      </c>
      <c r="H103" s="123">
        <f>PV(C94,D93,0,-I94)</f>
        <v>2.3003310925639422</v>
      </c>
      <c r="I103" s="109">
        <f>PV(C93,D93,0,-I94)</f>
        <v>3.059360140698292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5008292.6314407773</v>
      </c>
      <c r="D106" s="109">
        <f>(D100+D103)/2</f>
        <v>3.1699396483943949</v>
      </c>
      <c r="E106" s="123">
        <f>(E100+E103)/2</f>
        <v>3.7293407628169351</v>
      </c>
      <c r="F106" s="109">
        <f>(F100+F103)/2</f>
        <v>3.7293407628169351</v>
      </c>
      <c r="H106" s="123">
        <f>(H100+H103)/2</f>
        <v>3.7293407628169351</v>
      </c>
      <c r="I106" s="123">
        <f>(I100+I103)/2</f>
        <v>4.9598931726504709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