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15E085B3-8BB0-4CA9-83DA-210E916DF82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50" i="2" l="1"/>
  <c r="E50" i="2"/>
  <c r="F50" i="2"/>
  <c r="G50" i="2"/>
  <c r="G59" i="2" s="1"/>
  <c r="H50" i="2"/>
  <c r="I50" i="2"/>
  <c r="J50" i="2"/>
  <c r="K50" i="2"/>
  <c r="L50" i="2"/>
  <c r="M50" i="2"/>
  <c r="M59" i="2" s="1"/>
  <c r="C50" i="2"/>
  <c r="D6" i="3"/>
  <c r="B7" i="3"/>
  <c r="B6" i="3"/>
  <c r="M61" i="2"/>
  <c r="L61" i="2"/>
  <c r="K61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I59" i="2" s="1"/>
  <c r="H60" i="2"/>
  <c r="G60" i="2"/>
  <c r="F60" i="2"/>
  <c r="E60" i="2"/>
  <c r="D60" i="2"/>
  <c r="C60" i="2"/>
  <c r="L59" i="2"/>
  <c r="J59" i="2"/>
  <c r="H59" i="2"/>
  <c r="F59" i="2"/>
  <c r="E59" i="2"/>
  <c r="D59" i="2"/>
  <c r="D55" i="2"/>
  <c r="E55" i="2"/>
  <c r="F55" i="2"/>
  <c r="G55" i="2"/>
  <c r="H55" i="2"/>
  <c r="I55" i="2"/>
  <c r="J55" i="2"/>
  <c r="K55" i="2"/>
  <c r="L55" i="2"/>
  <c r="M55" i="2"/>
  <c r="C55" i="2"/>
  <c r="M53" i="2"/>
  <c r="K59" i="2" l="1"/>
  <c r="C59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3" i="2" s="1"/>
  <c r="H6" i="2"/>
  <c r="G53" i="2" s="1"/>
  <c r="I6" i="2"/>
  <c r="H53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3" i="2" s="1"/>
  <c r="E6" i="2"/>
  <c r="D53" i="2" s="1"/>
  <c r="F6" i="2"/>
  <c r="E53" i="2" s="1"/>
  <c r="J6" i="2"/>
  <c r="I53" i="2" s="1"/>
  <c r="K6" i="2"/>
  <c r="J53" i="2" s="1"/>
  <c r="L6" i="2"/>
  <c r="K53" i="2" s="1"/>
  <c r="M6" i="2"/>
  <c r="L53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6" i="2"/>
  <c r="G57" i="2"/>
  <c r="D15" i="2"/>
  <c r="E15" i="2"/>
  <c r="K13" i="2"/>
  <c r="E13" i="2"/>
  <c r="L13" i="2"/>
  <c r="E40" i="2"/>
  <c r="G13" i="2"/>
  <c r="E57" i="2"/>
  <c r="D40" i="2"/>
  <c r="D13" i="2"/>
  <c r="G40" i="2"/>
  <c r="K56" i="2"/>
  <c r="L24" i="2"/>
  <c r="L23" i="2" s="1"/>
  <c r="M57" i="2"/>
  <c r="M56" i="2"/>
  <c r="E93" i="4" l="1"/>
  <c r="F93" i="4"/>
  <c r="F92" i="4"/>
  <c r="H75" i="3" s="1"/>
  <c r="H77" i="3"/>
  <c r="E74" i="3"/>
  <c r="F97" i="4"/>
  <c r="H78" i="3" s="1"/>
  <c r="I15" i="2"/>
  <c r="J57" i="2"/>
  <c r="J13" i="2"/>
  <c r="H40" i="2"/>
  <c r="H13" i="2"/>
  <c r="H57" i="2"/>
  <c r="F40" i="2"/>
  <c r="F13" i="2"/>
  <c r="F57" i="2"/>
  <c r="I13" i="2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92" i="4"/>
  <c r="E75" i="3" s="1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98" i="3" s="1"/>
  <c r="C27" i="2"/>
  <c r="C37" i="2"/>
  <c r="H98" i="3" l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<sst xmlns="http://schemas.openxmlformats.org/spreadsheetml/2006/main" count="393" uniqueCount="272">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</sst>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5" sqref="C5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208</v>
      </c>
    </row>
    <row r="4" spans="1:5" ht="13.9" x14ac:dyDescent="0.4">
      <c r="B4" s="141" t="s">
        <v>188</v>
      </c>
      <c r="C4" s="188" t="s">
        <v>237</v>
      </c>
    </row>
    <row r="5" spans="1:5" ht="13.9" x14ac:dyDescent="0.4">
      <c r="B5" s="141" t="s">
        <v>189</v>
      </c>
      <c r="C5" s="191" t="s">
        <v>251</v>
      </c>
    </row>
    <row r="6" spans="1:5" ht="13.9" x14ac:dyDescent="0.4">
      <c r="B6" s="141" t="s">
        <v>157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209</v>
      </c>
      <c r="C8" s="191" t="s">
        <v>68</v>
      </c>
      <c r="E8" s="267"/>
    </row>
    <row r="9" spans="1:5" ht="13.9" x14ac:dyDescent="0.4">
      <c r="B9" s="140" t="s">
        <v>210</v>
      </c>
      <c r="C9" s="192" t="s">
        <v>238</v>
      </c>
    </row>
    <row r="10" spans="1:5" ht="13.9" x14ac:dyDescent="0.4">
      <c r="B10" s="140" t="s">
        <v>211</v>
      </c>
      <c r="C10" s="193">
        <v>587107850</v>
      </c>
    </row>
    <row r="11" spans="1:5" ht="13.9" x14ac:dyDescent="0.4">
      <c r="B11" s="140" t="s">
        <v>212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213</v>
      </c>
      <c r="C14" s="219">
        <v>45473</v>
      </c>
    </row>
    <row r="15" spans="1:5" ht="13.9" x14ac:dyDescent="0.4">
      <c r="B15" s="218" t="s">
        <v>252</v>
      </c>
      <c r="C15" s="176" t="s">
        <v>257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218</v>
      </c>
      <c r="C17" s="242" t="s">
        <v>241</v>
      </c>
      <c r="D17" s="24"/>
    </row>
    <row r="18" spans="2:13" ht="13.9" x14ac:dyDescent="0.4">
      <c r="B18" s="240" t="s">
        <v>232</v>
      </c>
      <c r="C18" s="242" t="s">
        <v>241</v>
      </c>
      <c r="D18" s="24"/>
    </row>
    <row r="19" spans="2:13" ht="13.9" x14ac:dyDescent="0.4">
      <c r="B19" s="240" t="s">
        <v>233</v>
      </c>
      <c r="C19" s="242" t="s">
        <v>241</v>
      </c>
      <c r="D19" s="24"/>
    </row>
    <row r="20" spans="2:13" ht="13.9" x14ac:dyDescent="0.4">
      <c r="B20" s="241" t="s">
        <v>222</v>
      </c>
      <c r="C20" s="242" t="s">
        <v>241</v>
      </c>
      <c r="D20" s="24"/>
    </row>
    <row r="21" spans="2:13" ht="13.9" x14ac:dyDescent="0.4">
      <c r="B21" s="224" t="s">
        <v>225</v>
      </c>
      <c r="C21" s="242" t="s">
        <v>241</v>
      </c>
      <c r="D21" s="24"/>
    </row>
    <row r="22" spans="2:13" ht="78.75" x14ac:dyDescent="0.4">
      <c r="B22" s="226" t="s">
        <v>224</v>
      </c>
      <c r="C22" s="243" t="s">
        <v>255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253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143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261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201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248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245</v>
      </c>
      <c r="C47" s="194" t="s">
        <v>31</v>
      </c>
      <c r="D47" s="194" t="s">
        <v>190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152</v>
      </c>
      <c r="C53" s="59"/>
      <c r="D53" s="60">
        <f>D50</f>
        <v>0.6</v>
      </c>
      <c r="E53" s="112"/>
    </row>
    <row r="54" spans="2:5" ht="13.9" x14ac:dyDescent="0.4">
      <c r="B54" s="3" t="s">
        <v>259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153</v>
      </c>
      <c r="C63" s="59"/>
      <c r="D63" s="60">
        <f>D62</f>
        <v>0.5</v>
      </c>
      <c r="E63" s="112"/>
    </row>
    <row r="64" spans="2:5" ht="13.9" x14ac:dyDescent="0.4">
      <c r="B64" s="3" t="s">
        <v>258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0.3</v>
      </c>
      <c r="E66" s="221" t="s">
        <v>68</v>
      </c>
    </row>
    <row r="67" spans="2:5" ht="13.9" x14ac:dyDescent="0.4">
      <c r="B67" s="1" t="s">
        <v>46</v>
      </c>
      <c r="C67" s="59"/>
      <c r="D67" s="60">
        <v>0.2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214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246</v>
      </c>
      <c r="C86" s="197">
        <v>5</v>
      </c>
    </row>
    <row r="87" spans="2:8" ht="13.9" x14ac:dyDescent="0.4">
      <c r="B87" s="10" t="s">
        <v>244</v>
      </c>
      <c r="C87" s="236" t="s">
        <v>247</v>
      </c>
      <c r="D87" s="269">
        <v>0.02</v>
      </c>
    </row>
    <row r="89" spans="2:8" ht="13.5" x14ac:dyDescent="0.35">
      <c r="B89" s="106" t="s">
        <v>124</v>
      </c>
      <c r="C89" s="275">
        <f>C24</f>
        <v>45291</v>
      </c>
      <c r="D89" s="275"/>
      <c r="E89" s="89" t="s">
        <v>200</v>
      </c>
      <c r="F89" s="89" t="s">
        <v>199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0</v>
      </c>
      <c r="D91" s="209"/>
      <c r="E91" s="251">
        <f>C91</f>
        <v>0</v>
      </c>
      <c r="F91" s="251">
        <f>C91</f>
        <v>0</v>
      </c>
    </row>
    <row r="92" spans="2:8" ht="13.9" x14ac:dyDescent="0.4">
      <c r="B92" s="104" t="s">
        <v>103</v>
      </c>
      <c r="C92" s="77">
        <f>C26</f>
        <v>0</v>
      </c>
      <c r="D92" s="159" t="e">
        <f>C92/C91</f>
        <v>#DIV/0!</v>
      </c>
      <c r="E92" s="252" t="e">
        <f>E91*D92</f>
        <v>#DIV/0!</v>
      </c>
      <c r="F92" s="252" t="e">
        <f>F91*D92</f>
        <v>#DIV/0!</v>
      </c>
    </row>
    <row r="93" spans="2:8" ht="13.9" x14ac:dyDescent="0.4">
      <c r="B93" s="104" t="s">
        <v>243</v>
      </c>
      <c r="C93" s="77">
        <f>C27+C28</f>
        <v>0</v>
      </c>
      <c r="D93" s="159" t="e">
        <f>C93/C91</f>
        <v>#DIV/0!</v>
      </c>
      <c r="E93" s="252" t="e">
        <f>E91*D93</f>
        <v>#DIV/0!</v>
      </c>
      <c r="F93" s="252" t="e">
        <f>F91*D93</f>
        <v>#DIV/0!</v>
      </c>
    </row>
    <row r="94" spans="2:8" ht="13.9" x14ac:dyDescent="0.4">
      <c r="B94" s="104" t="s">
        <v>253</v>
      </c>
      <c r="C94" s="77">
        <f>C29</f>
        <v>0</v>
      </c>
      <c r="D94" s="159" t="e">
        <f>C94/C91</f>
        <v>#DIV/0!</v>
      </c>
      <c r="E94" s="253"/>
      <c r="F94" s="252" t="e">
        <f>F91*D94</f>
        <v>#DIV/0!</v>
      </c>
    </row>
    <row r="95" spans="2:8" ht="13.9" x14ac:dyDescent="0.4">
      <c r="B95" s="28" t="s">
        <v>242</v>
      </c>
      <c r="C95" s="77">
        <f>ABS(MAX(C33,0)-C32)</f>
        <v>0</v>
      </c>
      <c r="D95" s="159" t="e">
        <f>C95/C91</f>
        <v>#DIV/0!</v>
      </c>
      <c r="E95" s="252" t="e">
        <f>E91*D95</f>
        <v>#DIV/0!</v>
      </c>
      <c r="F95" s="252" t="e">
        <f>F91*D95</f>
        <v>#DIV/0!</v>
      </c>
    </row>
    <row r="96" spans="2:8" ht="13.9" x14ac:dyDescent="0.4">
      <c r="B96" s="28" t="s">
        <v>107</v>
      </c>
      <c r="C96" s="77">
        <f>MAX(C31,0)</f>
        <v>0</v>
      </c>
      <c r="D96" s="159" t="e">
        <f>C96/C91</f>
        <v>#DIV/0!</v>
      </c>
      <c r="E96" s="253"/>
      <c r="F96" s="252" t="e">
        <f>F91*D96</f>
        <v>#DIV/0!</v>
      </c>
    </row>
    <row r="97" spans="2:7" ht="13.9" x14ac:dyDescent="0.4">
      <c r="B97" s="73" t="s">
        <v>166</v>
      </c>
      <c r="C97" s="77">
        <f>MAX(C30,0)/(1-C16)</f>
        <v>0</v>
      </c>
      <c r="D97" s="159" t="e">
        <f>C97/C91</f>
        <v>#DIV/0!</v>
      </c>
      <c r="E97" s="253"/>
      <c r="F97" s="252" t="e">
        <f>F91*D97</f>
        <v>#DIV/0!</v>
      </c>
    </row>
    <row r="98" spans="2:7" ht="13.9" x14ac:dyDescent="0.4">
      <c r="B98" s="86" t="s">
        <v>201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Template</v>
      </c>
      <c r="D2" s="87"/>
      <c r="E2" s="7"/>
      <c r="F2" s="7"/>
      <c r="G2" s="86"/>
      <c r="H2" s="86"/>
    </row>
    <row r="3" spans="1:10" ht="15.75" customHeight="1" x14ac:dyDescent="0.4">
      <c r="B3" s="3" t="s">
        <v>188</v>
      </c>
      <c r="C3" s="281" t="str">
        <f>Inputs!C4</f>
        <v>0590.HK</v>
      </c>
      <c r="D3" s="282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189</v>
      </c>
      <c r="C4" s="283" t="str">
        <f>Inputs!C5</f>
        <v>Template</v>
      </c>
      <c r="D4" s="284"/>
      <c r="E4" s="87"/>
      <c r="F4" s="3" t="s">
        <v>3</v>
      </c>
      <c r="G4" s="287">
        <f>Inputs!C10</f>
        <v>587107850</v>
      </c>
      <c r="H4" s="287"/>
      <c r="I4" s="39"/>
    </row>
    <row r="5" spans="1:10" ht="15.75" customHeight="1" x14ac:dyDescent="0.4">
      <c r="B5" s="3" t="s">
        <v>157</v>
      </c>
      <c r="C5" s="285">
        <f>Inputs!C6</f>
        <v>45624</v>
      </c>
      <c r="D5" s="286"/>
      <c r="E5" s="34"/>
      <c r="F5" s="35" t="s">
        <v>97</v>
      </c>
      <c r="G5" s="279">
        <f>G3*G4/1000000</f>
        <v>8677.4538662252908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186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184</v>
      </c>
      <c r="F9" s="143" t="s">
        <v>179</v>
      </c>
    </row>
    <row r="10" spans="1:10" ht="15.75" customHeight="1" x14ac:dyDescent="0.4">
      <c r="B10" s="1" t="s">
        <v>169</v>
      </c>
      <c r="C10" s="172">
        <v>4.2099999999999999E-2</v>
      </c>
      <c r="F10" s="110" t="s">
        <v>176</v>
      </c>
    </row>
    <row r="11" spans="1:10" ht="15.75" customHeight="1" thickBot="1" x14ac:dyDescent="0.45">
      <c r="B11" s="122" t="s">
        <v>173</v>
      </c>
      <c r="C11" s="173">
        <v>5.3099999999999994E-2</v>
      </c>
      <c r="D11" s="137" t="s">
        <v>183</v>
      </c>
      <c r="F11" s="110" t="s">
        <v>171</v>
      </c>
    </row>
    <row r="12" spans="1:10" ht="15.75" customHeight="1" thickTop="1" x14ac:dyDescent="0.4">
      <c r="B12" s="87" t="s">
        <v>249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170</v>
      </c>
      <c r="C14" s="172">
        <v>2.1309999999999999E-2</v>
      </c>
      <c r="F14" s="110" t="s">
        <v>175</v>
      </c>
    </row>
    <row r="15" spans="1:10" ht="15.75" customHeight="1" x14ac:dyDescent="0.4">
      <c r="B15" s="1" t="s">
        <v>180</v>
      </c>
      <c r="C15" s="172">
        <v>6.5000000000000002E-2</v>
      </c>
      <c r="F15" s="110" t="s">
        <v>174</v>
      </c>
    </row>
    <row r="16" spans="1:10" ht="15.75" customHeight="1" thickBot="1" x14ac:dyDescent="0.45">
      <c r="B16" s="122" t="s">
        <v>181</v>
      </c>
      <c r="C16" s="173">
        <v>0.16</v>
      </c>
      <c r="D16" s="265" t="str">
        <f>Inputs!C15</f>
        <v>CN</v>
      </c>
      <c r="F16" s="110" t="s">
        <v>172</v>
      </c>
    </row>
    <row r="17" spans="1:8" ht="15.75" customHeight="1" thickTop="1" x14ac:dyDescent="0.4">
      <c r="B17" s="87" t="s">
        <v>250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177</v>
      </c>
      <c r="C19" s="135" t="s">
        <v>49</v>
      </c>
      <c r="D19" s="87"/>
      <c r="E19" s="87"/>
      <c r="F19" s="142" t="s">
        <v>206</v>
      </c>
      <c r="G19" s="87"/>
      <c r="H19" s="87"/>
    </row>
    <row r="20" spans="1:8" ht="15.75" customHeight="1" x14ac:dyDescent="0.4">
      <c r="B20" s="137" t="s">
        <v>163</v>
      </c>
      <c r="C20" s="171" t="e">
        <f>Fin_Analysis!I75</f>
        <v>#DIV/0!</v>
      </c>
      <c r="F20" s="87" t="s">
        <v>205</v>
      </c>
      <c r="G20" s="172">
        <v>0.15</v>
      </c>
    </row>
    <row r="21" spans="1:8" ht="15.75" customHeight="1" x14ac:dyDescent="0.4">
      <c r="B21" s="137" t="s">
        <v>240</v>
      </c>
      <c r="C21" s="171" t="e">
        <f>Fin_Analysis!I77</f>
        <v>#DIV/0!</v>
      </c>
      <c r="F21" s="87"/>
      <c r="G21" s="29"/>
    </row>
    <row r="22" spans="1:8" ht="15.75" customHeight="1" x14ac:dyDescent="0.4">
      <c r="B22" s="137" t="s">
        <v>185</v>
      </c>
      <c r="C22" s="171" t="e">
        <f>Fin_Analysis!I78</f>
        <v>#DIV/0!</v>
      </c>
      <c r="F22" s="142" t="s">
        <v>178</v>
      </c>
    </row>
    <row r="23" spans="1:8" ht="15.75" customHeight="1" x14ac:dyDescent="0.4">
      <c r="B23" s="137" t="s">
        <v>165</v>
      </c>
      <c r="C23" s="171" t="e">
        <f>Fin_Analysis!I80</f>
        <v>#DIV/0!</v>
      </c>
      <c r="F23" s="140" t="s">
        <v>182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164</v>
      </c>
      <c r="C24" s="171" t="e">
        <f>Fin_Analysis!I81</f>
        <v>#DIV/0!</v>
      </c>
      <c r="F24" s="140" t="s">
        <v>256</v>
      </c>
      <c r="G24" s="268" t="e">
        <f>G3/(Fin_Analysis!H86*G7)</f>
        <v>#DIV/0!</v>
      </c>
    </row>
    <row r="25" spans="1:8" ht="15.75" customHeight="1" x14ac:dyDescent="0.4">
      <c r="B25" s="137" t="s">
        <v>239</v>
      </c>
      <c r="C25" s="171" t="e">
        <f>Fin_Analysis!I82</f>
        <v>#DIV/0!</v>
      </c>
      <c r="F25" s="140" t="s">
        <v>168</v>
      </c>
      <c r="G25" s="171" t="e">
        <f>Fin_Analysis!I88</f>
        <v>#DIV/0!</v>
      </c>
    </row>
    <row r="26" spans="1:8" ht="15.75" customHeight="1" x14ac:dyDescent="0.4">
      <c r="B26" s="138" t="s">
        <v>167</v>
      </c>
      <c r="C26" s="171" t="e">
        <f>Fin_Analysis!I83</f>
        <v>#DIV/0!</v>
      </c>
      <c r="F26" s="141" t="s">
        <v>187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160</v>
      </c>
      <c r="D28" s="43" t="s">
        <v>161</v>
      </c>
      <c r="E28" s="58"/>
      <c r="F28" s="53" t="s">
        <v>231</v>
      </c>
      <c r="G28" s="277" t="s">
        <v>254</v>
      </c>
      <c r="H28" s="277"/>
    </row>
    <row r="29" spans="1:8" ht="15.75" customHeight="1" x14ac:dyDescent="0.4">
      <c r="B29" s="87" t="s">
        <v>162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78" t="e">
        <f>IF(Fin_Analysis!C108="Profit",Fin_Analysis!I100,IF(Fin_Analysis!C108="Dividend",Fin_Analysis!I103,Fin_Analysis!I106))</f>
        <v>#DIV/0!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216</v>
      </c>
      <c r="C31"/>
    </row>
    <row r="32" spans="1:8" ht="15.75" customHeight="1" x14ac:dyDescent="0.4">
      <c r="A32"/>
      <c r="B32" s="196" t="s">
        <v>217</v>
      </c>
      <c r="C32" s="224"/>
    </row>
    <row r="33" spans="1:3" ht="15.75" customHeight="1" x14ac:dyDescent="0.4">
      <c r="A33"/>
      <c r="B33" s="20" t="s">
        <v>218</v>
      </c>
      <c r="C33" s="245" t="str">
        <f>Inputs!C17</f>
        <v>unclear</v>
      </c>
    </row>
    <row r="34" spans="1:3" ht="15.75" customHeight="1" x14ac:dyDescent="0.4">
      <c r="A34"/>
      <c r="B34" s="19" t="s">
        <v>219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220</v>
      </c>
      <c r="C35" s="224"/>
    </row>
    <row r="36" spans="1:3" ht="15.75" customHeight="1" x14ac:dyDescent="0.4">
      <c r="A36"/>
      <c r="B36" s="20" t="s">
        <v>232</v>
      </c>
      <c r="C36" s="245" t="str">
        <f>Inputs!C18</f>
        <v>unclear</v>
      </c>
    </row>
    <row r="37" spans="1:3" ht="15.75" customHeight="1" x14ac:dyDescent="0.4">
      <c r="A37"/>
      <c r="B37" s="20" t="s">
        <v>233</v>
      </c>
      <c r="C37" s="245" t="str">
        <f>Inputs!C19</f>
        <v>unclear</v>
      </c>
    </row>
    <row r="38" spans="1:3" ht="15.75" customHeight="1" x14ac:dyDescent="0.4">
      <c r="A38"/>
      <c r="B38" s="196" t="s">
        <v>221</v>
      </c>
      <c r="C38" s="224"/>
    </row>
    <row r="39" spans="1:3" ht="15.75" customHeight="1" x14ac:dyDescent="0.4">
      <c r="A39"/>
      <c r="B39" s="19" t="s">
        <v>222</v>
      </c>
      <c r="C39" s="245" t="str">
        <f>Inputs!C20</f>
        <v>unclear</v>
      </c>
    </row>
    <row r="40" spans="1:3" ht="15.75" customHeight="1" x14ac:dyDescent="0.4">
      <c r="A40"/>
      <c r="B40" s="1" t="s">
        <v>225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223</v>
      </c>
      <c r="C42"/>
    </row>
    <row r="43" spans="1:3" ht="65.650000000000006" x14ac:dyDescent="0.4">
      <c r="A43"/>
      <c r="B43" s="226" t="s">
        <v>224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193</v>
      </c>
      <c r="F2" s="119" t="s">
        <v>196</v>
      </c>
      <c r="G2" s="148" t="s">
        <v>197</v>
      </c>
      <c r="H2" s="147" t="s">
        <v>198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194</v>
      </c>
      <c r="F3" s="85" t="str">
        <f>H14</f>
        <v/>
      </c>
      <c r="G3" s="85" t="e">
        <f>C14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195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 t="str">
        <f>IF(Inputs!C25=""," ",Inputs!C25)</f>
        <v xml:space="preserve"> </v>
      </c>
      <c r="D6" s="200" t="str">
        <f>IF(Inputs!D25="","",Inputs!D25)</f>
        <v/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 t="str">
        <f>IF(Inputs!C26="","",Inputs!C26)</f>
        <v/>
      </c>
      <c r="D8" s="199" t="str">
        <f>IF(Inputs!D26="","",Inputs!D26)</f>
        <v/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 t="e">
        <f t="shared" ref="C9:M9" si="2">IF(C6="","",(C6-C8))</f>
        <v>#VALUE!</v>
      </c>
      <c r="D9" s="151" t="str">
        <f t="shared" si="2"/>
        <v/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 t="str">
        <f>IF(Inputs!C27="","",Inputs!C27)</f>
        <v/>
      </c>
      <c r="D10" s="199" t="str">
        <f>IF(Inputs!D27="","",Inputs!D27)</f>
        <v/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234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235</v>
      </c>
      <c r="C13" s="229" t="e">
        <f t="shared" ref="C13:M13" si="3">IF(C14="","",C14/C6)</f>
        <v>#VALUE!</v>
      </c>
      <c r="D13" s="229" t="str">
        <f t="shared" si="3"/>
        <v/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227</v>
      </c>
      <c r="C14" s="230" t="e">
        <f>IF(C6="","",C9-C10-MAX(C11,0)-MAX(C12,0))</f>
        <v>#VALUE!</v>
      </c>
      <c r="D14" s="230" t="str">
        <f t="shared" ref="D14:M14" si="4">IF(D6="","",D9-D10-MAX(D11,0)-MAX(D12,0))</f>
        <v/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236</v>
      </c>
      <c r="C15" s="232" t="str">
        <f>IF(D14="","",IF(ABS(C14+D14)=ABS(C14)+ABS(D14),IF(C14&lt;0,-1,1)*(C14-D14)/D14,"Turn"))</f>
        <v/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253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229</v>
      </c>
      <c r="C20" s="152" t="e">
        <f t="shared" ref="C20:M20" si="7">IF(C6="","",MAX(C21,0)/C6)</f>
        <v>#VALUE!</v>
      </c>
      <c r="D20" s="152" t="str">
        <f t="shared" si="7"/>
        <v/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 t="e">
        <f>IF(C6="","",C14-MAX(C16,0)-MAX(C17,0)-ABS(MAX(C21,0)-MAX(C19,0)))</f>
        <v>#VALUE!</v>
      </c>
      <c r="D22" s="161" t="str">
        <f t="shared" ref="D22:M22" si="8">IF(D6="","",D14-MAX(D16,0)-MAX(D17,0)-ABS(MAX(D21,0)-MAX(D19,0)))</f>
        <v/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 t="e">
        <f t="shared" ref="C23:M23" si="9">IF(C6="","",C24/C6)</f>
        <v>#VALUE!</v>
      </c>
      <c r="D23" s="153" t="str">
        <f t="shared" si="9"/>
        <v/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 t="str">
        <f>IF(D24="","",IF(ABS(C24+D24)=ABS(C24)+ABS(D24),IF(C24&lt;0,-1,1)*(C24-D24)/D24,"Turn"))</f>
        <v/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143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151</v>
      </c>
      <c r="C40" s="155" t="e">
        <f>IF(C6="","",C14/MAX(C39,0))</f>
        <v>#VALUE!</v>
      </c>
      <c r="D40" s="155" t="str">
        <f>IF(D6="","",D14/MAX(D39,0))</f>
        <v/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 t="e">
        <f t="shared" ref="C42:M42" si="34">IF(C6="","",C8/C6)</f>
        <v>#VALUE!</v>
      </c>
      <c r="D42" s="156" t="str">
        <f t="shared" si="34"/>
        <v/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228</v>
      </c>
      <c r="C43" s="153" t="e">
        <f t="shared" ref="C43:M43" si="35">IF(C6="","",(C10+MAX(C11,0))/C6)</f>
        <v>#VALUE!</v>
      </c>
      <c r="D43" s="153" t="str">
        <f t="shared" si="35"/>
        <v/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 t="e">
        <f t="shared" ref="C44:M44" si="36">IF(C6="","",MAX(C16,0)/C6)</f>
        <v>#VALUE!</v>
      </c>
      <c r="D44" s="153" t="str">
        <f t="shared" si="36"/>
        <v/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 t="e">
        <f t="shared" ref="C45:M45" si="37">IF(C6="","",MAX(C17,0)/C6)</f>
        <v>#VALUE!</v>
      </c>
      <c r="D45" s="153" t="str">
        <f t="shared" si="37"/>
        <v/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 t="e">
        <f>IF(C6="","",MAX(C12,0)/C6)</f>
        <v>#VALUE!</v>
      </c>
      <c r="D46" s="153" t="str">
        <f t="shared" ref="D46:M46" si="38">IF(D6="","",MAX(D12,0)/D6)</f>
        <v/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230</v>
      </c>
      <c r="C47" s="153" t="e">
        <f>IF(C6="","",ABS(MAX(C21,0)-MAX(C19,0))/C6)</f>
        <v>#VALUE!</v>
      </c>
      <c r="D47" s="153" t="str">
        <f t="shared" ref="D47:M47" si="39">IF(D6="","",ABS(MAX(D21,0)-MAX(D19,0))/D6)</f>
        <v/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 t="e">
        <f t="shared" ref="C48:M48" si="40">IF(C6="","",C22/C6)</f>
        <v>#VALUE!</v>
      </c>
      <c r="D48" s="153" t="str">
        <f t="shared" si="40"/>
        <v/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269</v>
      </c>
      <c r="C50" s="272" t="e">
        <f>IF(C6="","",C6/C27)</f>
        <v>#VALUE!</v>
      </c>
      <c r="D50" s="272" t="str">
        <f t="shared" ref="D50:M50" si="41">IF(D6="","",D6/D27)</f>
        <v/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270</v>
      </c>
      <c r="C51" s="153" t="e">
        <f t="shared" ref="C51:M51" si="42">IF(C29="","",C29/C6)</f>
        <v>#VALUE!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271</v>
      </c>
      <c r="C52" s="153" t="e">
        <f t="shared" ref="C52:M52" si="43">IF(C30="","",C30/C6)</f>
        <v>#VALUE!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260</v>
      </c>
      <c r="C53" s="153" t="str">
        <f>IF(D6="","",C16/(C6-D6))</f>
        <v/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264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265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e">
        <f t="shared" ref="C56:M56" si="46">IF(OR(C22="",C35=""),"",IF(C35&lt;=0,"-",C22/C35))</f>
        <v>#VALUE!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 t="e">
        <f t="shared" ref="C57:M57" si="47">IF(C22="","",IF(MAX(C17,0)&lt;=0,"-",C17/C22))</f>
        <v>#VALUE!</v>
      </c>
      <c r="D57" s="153" t="str">
        <f t="shared" si="47"/>
        <v/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266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267</v>
      </c>
      <c r="C60" s="274" t="e">
        <f>IF(C14="","",C14/(C36-C37))</f>
        <v>#VALUE!</v>
      </c>
      <c r="D60" s="274" t="str">
        <f t="shared" ref="D60:M60" si="50">IF(D14="","",D14/(D36-D37))</f>
        <v/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268</v>
      </c>
      <c r="C61" s="274" t="e">
        <f>IF(C22="","",C22/(C36-C37))</f>
        <v>#VALUE!</v>
      </c>
      <c r="D61" s="274" t="str">
        <f t="shared" ref="D61:M61" si="51">IF(D22="","",D22/(D36-D37))</f>
        <v/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190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152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153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0.3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0.2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147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145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148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146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45291</v>
      </c>
      <c r="D72" s="275"/>
      <c r="E72" s="289" t="s">
        <v>200</v>
      </c>
      <c r="F72" s="289"/>
      <c r="H72" s="289" t="s">
        <v>199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 t="str">
        <f>Data!C6</f>
        <v xml:space="preserve"> </v>
      </c>
      <c r="D74" s="209"/>
      <c r="E74" s="238">
        <f>Inputs!E91</f>
        <v>0</v>
      </c>
      <c r="F74" s="209"/>
      <c r="H74" s="238">
        <f>Inputs!F91</f>
        <v>0</v>
      </c>
      <c r="I74" s="209"/>
      <c r="K74" s="24"/>
    </row>
    <row r="75" spans="1:11" ht="15" customHeight="1" x14ac:dyDescent="0.4">
      <c r="B75" s="104" t="s">
        <v>103</v>
      </c>
      <c r="C75" s="77" t="str">
        <f>Data!C8</f>
        <v/>
      </c>
      <c r="D75" s="159" t="e">
        <f>C75/$C$74</f>
        <v>#VALUE!</v>
      </c>
      <c r="E75" s="238" t="e">
        <f>Inputs!E92</f>
        <v>#DIV/0!</v>
      </c>
      <c r="F75" s="160" t="e">
        <f>E75/E74</f>
        <v>#DIV/0!</v>
      </c>
      <c r="H75" s="238" t="e">
        <f>Inputs!F92</f>
        <v>#DIV/0!</v>
      </c>
      <c r="I75" s="160" t="e">
        <f>H75/$H$74</f>
        <v>#DIV/0!</v>
      </c>
      <c r="K75" s="24"/>
    </row>
    <row r="76" spans="1:11" ht="15" customHeight="1" x14ac:dyDescent="0.4">
      <c r="B76" s="35" t="s">
        <v>93</v>
      </c>
      <c r="C76" s="161" t="e">
        <f>C74-C75</f>
        <v>#VALUE!</v>
      </c>
      <c r="D76" s="210"/>
      <c r="E76" s="162" t="e">
        <f>E74-E75</f>
        <v>#DIV/0!</v>
      </c>
      <c r="F76" s="210"/>
      <c r="H76" s="162" t="e">
        <f>H74-H75</f>
        <v>#DIV/0!</v>
      </c>
      <c r="I76" s="210"/>
      <c r="K76" s="24"/>
    </row>
    <row r="77" spans="1:11" ht="15" customHeight="1" x14ac:dyDescent="0.4">
      <c r="B77" s="104" t="s">
        <v>243</v>
      </c>
      <c r="C77" s="77" t="e">
        <f>Data!C10+MAX(Data!C11,0)</f>
        <v>#VALUE!</v>
      </c>
      <c r="D77" s="159" t="e">
        <f>C77/$C$74</f>
        <v>#VALUE!</v>
      </c>
      <c r="E77" s="238" t="e">
        <f>Inputs!E93</f>
        <v>#DIV/0!</v>
      </c>
      <c r="F77" s="160" t="e">
        <f>E77/E74</f>
        <v>#DIV/0!</v>
      </c>
      <c r="H77" s="238" t="e">
        <f>Inputs!F93</f>
        <v>#DIV/0!</v>
      </c>
      <c r="I77" s="160" t="e">
        <f>H77/$H$74</f>
        <v>#DIV/0!</v>
      </c>
      <c r="K77" s="24"/>
    </row>
    <row r="78" spans="1:11" ht="15" customHeight="1" x14ac:dyDescent="0.4">
      <c r="B78" s="73" t="s">
        <v>166</v>
      </c>
      <c r="C78" s="77">
        <f>MAX(Data!C12,0)</f>
        <v>0</v>
      </c>
      <c r="D78" s="159" t="e">
        <f>C78/$C$74</f>
        <v>#VALUE!</v>
      </c>
      <c r="E78" s="180" t="e">
        <f>E74*F78</f>
        <v>#DIV/0!</v>
      </c>
      <c r="F78" s="160" t="e">
        <f>I78</f>
        <v>#DIV/0!</v>
      </c>
      <c r="H78" s="238" t="e">
        <f>Inputs!F97</f>
        <v>#DIV/0!</v>
      </c>
      <c r="I78" s="160" t="e">
        <f>H78/$H$74</f>
        <v>#DIV/0!</v>
      </c>
      <c r="K78" s="24"/>
    </row>
    <row r="79" spans="1:11" ht="15" customHeight="1" x14ac:dyDescent="0.4">
      <c r="B79" s="256" t="s">
        <v>226</v>
      </c>
      <c r="C79" s="257" t="e">
        <f>C76-C77-C78</f>
        <v>#VALUE!</v>
      </c>
      <c r="D79" s="258" t="e">
        <f>C79/C74</f>
        <v>#VALUE!</v>
      </c>
      <c r="E79" s="259" t="e">
        <f>E76-E77-E78</f>
        <v>#DIV/0!</v>
      </c>
      <c r="F79" s="258" t="e">
        <f>E79/E74</f>
        <v>#DIV/0!</v>
      </c>
      <c r="G79" s="260"/>
      <c r="H79" s="259" t="e">
        <f>H76-H77-H78</f>
        <v>#DIV/0!</v>
      </c>
      <c r="I79" s="258" t="e">
        <f>H79/H74</f>
        <v>#DIV/0!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 t="e">
        <f>C80/$C$74</f>
        <v>#VALUE!</v>
      </c>
      <c r="E80" s="180" t="e">
        <f>E74*F80</f>
        <v>#DIV/0!</v>
      </c>
      <c r="F80" s="160" t="e">
        <f>I80</f>
        <v>#DIV/0!</v>
      </c>
      <c r="H80" s="238" t="e">
        <f>Inputs!F96</f>
        <v>#DIV/0!</v>
      </c>
      <c r="I80" s="160" t="e">
        <f>H80/$H$74</f>
        <v>#DIV/0!</v>
      </c>
      <c r="K80" s="181" t="s">
        <v>128</v>
      </c>
    </row>
    <row r="81" spans="1:11" ht="15" customHeight="1" x14ac:dyDescent="0.4">
      <c r="B81" s="104" t="s">
        <v>253</v>
      </c>
      <c r="C81" s="77">
        <f>MAX(Data!C17,0)</f>
        <v>0</v>
      </c>
      <c r="D81" s="159" t="e">
        <f>C81/$C$74</f>
        <v>#VALUE!</v>
      </c>
      <c r="E81" s="180" t="e">
        <f>E74*F81</f>
        <v>#DIV/0!</v>
      </c>
      <c r="F81" s="160" t="e">
        <f>I81</f>
        <v>#DIV/0!</v>
      </c>
      <c r="H81" s="238" t="e">
        <f>Inputs!F94</f>
        <v>#DIV/0!</v>
      </c>
      <c r="I81" s="160" t="e">
        <f>H81/$H$74</f>
        <v>#DIV/0!</v>
      </c>
      <c r="K81" s="24"/>
    </row>
    <row r="82" spans="1:11" ht="15" customHeight="1" x14ac:dyDescent="0.4">
      <c r="B82" s="28" t="s">
        <v>242</v>
      </c>
      <c r="C82" s="77">
        <f>ABS(MAX(Data!C21,0)-MAX(Data!C19,0))</f>
        <v>0</v>
      </c>
      <c r="D82" s="159" t="e">
        <f>C82/$C$74</f>
        <v>#VALUE!</v>
      </c>
      <c r="E82" s="238" t="e">
        <f>Inputs!E95</f>
        <v>#DIV/0!</v>
      </c>
      <c r="F82" s="160" t="e">
        <f>E82/E74</f>
        <v>#DIV/0!</v>
      </c>
      <c r="H82" s="238" t="e">
        <f>Inputs!F95</f>
        <v>#DIV/0!</v>
      </c>
      <c r="I82" s="160" t="e">
        <f>H82/$H$74</f>
        <v>#DIV/0!</v>
      </c>
      <c r="K82" s="24"/>
    </row>
    <row r="83" spans="1:11" ht="15" customHeight="1" thickBot="1" x14ac:dyDescent="0.45">
      <c r="B83" s="105" t="s">
        <v>122</v>
      </c>
      <c r="C83" s="163" t="e">
        <f>C79-C81-C82-C80</f>
        <v>#VALUE!</v>
      </c>
      <c r="D83" s="164" t="e">
        <f>C83/$C$74</f>
        <v>#VALUE!</v>
      </c>
      <c r="E83" s="165" t="e">
        <f>E79-E81-E82-E80</f>
        <v>#DIV/0!</v>
      </c>
      <c r="F83" s="164" t="e">
        <f>E83/E74</f>
        <v>#DIV/0!</v>
      </c>
      <c r="H83" s="165" t="e">
        <f>H79-H81-H82-H80</f>
        <v>#DIV/0!</v>
      </c>
      <c r="I83" s="164" t="e">
        <f>H83/$H$74</f>
        <v>#DIV/0!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158</v>
      </c>
      <c r="C85" s="257" t="e">
        <f>C83*(1-I84)</f>
        <v>#VALUE!</v>
      </c>
      <c r="D85" s="258" t="e">
        <f>C85/$C$74</f>
        <v>#VALUE!</v>
      </c>
      <c r="E85" s="264" t="e">
        <f>E83*(1-F84)</f>
        <v>#DIV/0!</v>
      </c>
      <c r="F85" s="258" t="e">
        <f>E85/E74</f>
        <v>#DIV/0!</v>
      </c>
      <c r="G85" s="260"/>
      <c r="H85" s="264" t="e">
        <f>H83*(1-I84)</f>
        <v>#DIV/0!</v>
      </c>
      <c r="I85" s="258" t="e">
        <f>H85/$H$74</f>
        <v>#DIV/0!</v>
      </c>
      <c r="K85" s="24"/>
    </row>
    <row r="86" spans="1:11" ht="15" customHeight="1" x14ac:dyDescent="0.4">
      <c r="B86" s="87" t="s">
        <v>154</v>
      </c>
      <c r="C86" s="167" t="e">
        <f>C85*Data!C4/Common_Shares</f>
        <v>#VALUE!</v>
      </c>
      <c r="D86" s="209"/>
      <c r="E86" s="168" t="e">
        <f>E85*Data!C4/Common_Shares</f>
        <v>#DIV/0!</v>
      </c>
      <c r="F86" s="209"/>
      <c r="H86" s="168" t="e">
        <f>H85*Data!C4/Common_Shares</f>
        <v>#DIV/0!</v>
      </c>
      <c r="I86" s="209"/>
      <c r="K86" s="24"/>
    </row>
    <row r="87" spans="1:11" ht="15" customHeight="1" x14ac:dyDescent="0.4">
      <c r="B87" s="87" t="s">
        <v>202</v>
      </c>
      <c r="C87" s="261" t="e">
        <f>C86*Exchange_Rate/Dashboard!G3</f>
        <v>#VALUE!</v>
      </c>
      <c r="D87" s="209"/>
      <c r="E87" s="262" t="e">
        <f>E86*Exchange_Rate/Dashboard!G3</f>
        <v>#DIV/0!</v>
      </c>
      <c r="F87" s="209"/>
      <c r="H87" s="262" t="e">
        <f>H86*Exchange_Rate/Dashboard!G3</f>
        <v>#DIV/0!</v>
      </c>
      <c r="I87" s="209"/>
      <c r="K87" s="24"/>
    </row>
    <row r="88" spans="1:11" ht="15" customHeight="1" x14ac:dyDescent="0.4">
      <c r="B88" s="86" t="s">
        <v>201</v>
      </c>
      <c r="C88" s="169">
        <f>Inputs!C44</f>
        <v>0</v>
      </c>
      <c r="D88" s="166" t="e">
        <f>C88/C86</f>
        <v>#VALUE!</v>
      </c>
      <c r="E88" s="170">
        <f>Inputs!E98</f>
        <v>0</v>
      </c>
      <c r="F88" s="166" t="e">
        <f>E88/E86</f>
        <v>#DIV/0!</v>
      </c>
      <c r="H88" s="170">
        <f>Inputs!F98</f>
        <v>0</v>
      </c>
      <c r="I88" s="166" t="e">
        <f>H88/H86</f>
        <v>#DIV/0!</v>
      </c>
      <c r="K88" s="24"/>
    </row>
    <row r="89" spans="1:11" ht="15" customHeight="1" x14ac:dyDescent="0.4">
      <c r="B89" s="87" t="s">
        <v>215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149</v>
      </c>
      <c r="C92" s="198" t="str">
        <f>Inputs!C15</f>
        <v>CN</v>
      </c>
      <c r="D92" s="10" t="s">
        <v>150</v>
      </c>
      <c r="E92" s="289" t="s">
        <v>200</v>
      </c>
      <c r="F92" s="289"/>
      <c r="G92" s="87"/>
      <c r="H92" s="289" t="s">
        <v>199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203</v>
      </c>
      <c r="F93" s="144" t="e">
        <f>FV(E87,D93,0,-(E86/(C93-D94)))*Exchange_Rate</f>
        <v>#DIV/0!</v>
      </c>
      <c r="H93" s="87" t="s">
        <v>203</v>
      </c>
      <c r="I93" s="144" t="e">
        <f>FV(H87,D93,0,-(H86/(C93-D94)))*Exchange_Rate</f>
        <v>#DIV/0!</v>
      </c>
      <c r="K93" s="24"/>
    </row>
    <row r="94" spans="1:11" ht="15" customHeight="1" x14ac:dyDescent="0.4">
      <c r="B94" s="1" t="s">
        <v>205</v>
      </c>
      <c r="C94" s="182">
        <f>Dashboard!G20</f>
        <v>0.15</v>
      </c>
      <c r="D94" s="270">
        <f>Inputs!D87</f>
        <v>0.02</v>
      </c>
      <c r="E94" s="87" t="s">
        <v>204</v>
      </c>
      <c r="F94" s="144">
        <f>FV(E89,D93,0,-(E88/(C93-D94)))*Exchange_Rate</f>
        <v>0</v>
      </c>
      <c r="H94" s="87" t="s">
        <v>204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207</v>
      </c>
      <c r="E96" s="183" t="str">
        <f>E72</f>
        <v>Pessimistic Case</v>
      </c>
      <c r="F96" s="227" t="s">
        <v>231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 t="e">
        <f>H97*Common_Shares/Data!C4</f>
        <v>#DIV/0!</v>
      </c>
      <c r="D97" s="213"/>
      <c r="E97" s="123" t="e">
        <f>PV(C94,D93,0,-F93)</f>
        <v>#DIV/0!</v>
      </c>
      <c r="F97" s="213"/>
      <c r="H97" s="123" t="e">
        <f>PV(C94,D93,0,-I93)</f>
        <v>#DIV/0!</v>
      </c>
      <c r="I97" s="123" t="e">
        <f>PV(C93,D93,0,-I93)</f>
        <v>#DIV/0!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156</v>
      </c>
      <c r="C102" s="127" t="str">
        <f>C96</f>
        <v>HKD</v>
      </c>
      <c r="D102" s="124" t="s">
        <v>207</v>
      </c>
      <c r="E102" s="183" t="str">
        <f>E96</f>
        <v>Pessimistic Case</v>
      </c>
      <c r="F102" s="227" t="s">
        <v>231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155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191</v>
      </c>
      <c r="C105" s="127" t="str">
        <f>C102</f>
        <v>HKD</v>
      </c>
      <c r="D105" s="124" t="s">
        <v>207</v>
      </c>
      <c r="E105" s="184" t="str">
        <f>E96</f>
        <v>Pessimistic Case</v>
      </c>
      <c r="F105" s="227" t="s">
        <v>231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192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159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2024-12-16T06:12:07Z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