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FC591077-3B8B-3D4C-8354-7739A11C988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D8" i="2"/>
  <c r="C10" i="2"/>
  <c r="C8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<sst xmlns="http://schemas.openxmlformats.org/spreadsheetml/2006/main" count="253" uniqueCount="230">
  <si>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</si>
  <si>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</si>
  <si>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</si>
  <si>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</si>
  <si>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</si>
  <si>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</si>
  <si>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</si>
  <si>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</si>
  <si>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</si>
  <si>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</si>
  <si>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</si>
  <si>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</si>
  <si>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</si>
  <si>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</si>
  <si>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</si>
  <si>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</si>
  <si>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</si>
  <si>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</si>
  <si>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</si>
  <si>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</si>
  <si>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</si>
  <si>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</si>
  <si>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</si>
  <si>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</si>
  <si>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</si>
  <si>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</si>
  <si>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</si>
  <si>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</si>
  <si>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</si>
  <si>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</si>
  <si>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</si>
  <si>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</si>
  <si>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</si>
  <si>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</si>
  <si>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</si>
  <si>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</si>
  <si>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</si>
  <si>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</si>
  <si>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</si>
  <si>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</si>
  <si>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</si>
  <si>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</si>
  <si>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</si>
  <si>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</si>
  <si>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</si>
  <si>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</si>
  <si>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</si>
  <si>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</si>
  <si>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</si>
  <si>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</si>
  <si>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</si>
  <si>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</si>
  <si>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</si>
  <si>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</si>
  <si>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</si>
  <si>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</si>
  <si>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</si>
  <si>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</si>
  <si>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</si>
  <si>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</si>
  <si>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</si>
  <si>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</si>
  <si>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</si>
  <si>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</si>
  <si>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</si>
  <si>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</si>
  <si>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</si>
  <si>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</si>
  <si>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</si>
  <si>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</si>
  <si>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</si>
  <si>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</si>
  <si>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</si>
  <si>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</si>
  <si>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</si>
  <si>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</si>
  <si>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</si>
  <si>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</si>
  <si>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</si>
  <si>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</si>
  <si>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</si>
  <si>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</si>
  <si>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</si>
  <si>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</si>
  <si>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</si>
  <si>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</si>
  <si>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</si>
  <si>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</si>
  <si>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</si>
  <si>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</si>
  <si>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</si>
  <si>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</si>
  <si>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</si>
  <si>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</si>
  <si>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</si>
  <si>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</si>
  <si>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</si>
  <si>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</si>
  <si>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</si>
  <si>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</si>
  <si>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</si>
  <si>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</si>
  <si>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</si>
  <si>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</si>
  <si>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</si>
  <si>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</si>
  <si>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</si>
  <si>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</si>
  <si>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</si>
  <si>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</si>
  <si>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</si>
  <si>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</si>
  <si>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</si>
  <si>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</si>
  <si>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</si>
  <si>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</si>
  <si>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</si>
  <si>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</si>
  <si>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</si>
  <si>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</si>
  <si>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</si>
  <si>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</si>
  <si>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</si>
  <si>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</si>
  <si>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</si>
  <si>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</si>
  <si>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</si>
  <si>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</si>
  <si>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</si>
  <si>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</si>
  <si>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</si>
  <si>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</si>
  <si>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</si>
  <si>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</si>
  <si>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</si>
  <si>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</si>
  <si>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</si>
  <si>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</si>
  <si>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</si>
  <si>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</si>
  <si>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</si>
  <si>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</si>
  <si>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</si>
  <si>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</si>
  <si>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</si>
  <si>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</si>
  <si>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</si>
  <si>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</si>
  <si>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</si>
  <si>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</si>
  <si>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</si>
  <si>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</si>
  <si>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</si>
  <si>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</si>
  <si>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</si>
  <si>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</si>
  <si>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</si>
  <si>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</si>
  <si>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</si>
  <si>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</si>
  <si>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</si>
  <si>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</si>
  <si>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</si>
  <si>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</si>
  <si>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</si>
  <si>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</si>
  <si>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</si>
  <si>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</si>
  <si>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</si>
  <si>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</si>
  <si>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</si>
  <si>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</si>
  <si>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</si>
  <si>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</si>
  <si>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</si>
  <si>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</si>
  <si>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</si>
  <si>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</si>
  <si>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</si>
  <si>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</si>
  <si>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</si>
  <si>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</si>
  <si>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</si>
  <si>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</si>
  <si>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</si>
  <si>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</si>
  <si>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</si>
  <si>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</si>
  <si>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</si>
  <si>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</si>
  <si>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</si>
  <si>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</si>
  <si>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</si>
  <si>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</si>
  <si>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</si>
  <si>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</si>
  <si>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</si>
  <si>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</si>
  <si>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</si>
  <si>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</si>
  <si>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</si>
  <si>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</si>
  <si>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</si>
  <si>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</si>
  <si>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</si>
  <si>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</si>
  <si>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</si>
  <si>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</si>
  <si>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</si>
  <si>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</si>
  <si>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</si>
  <si>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</si>
  <si>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</si>
  <si>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</si>
  <si>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</si>
  <si>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</si>
  <si>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</si>
  <si>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</si>
  <si>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</si>
  <si>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</si>
  <si>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</si>
  <si>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</si>
  <si>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</si>
  <si>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</si>
  <si>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</si>
  <si>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</si>
  <si>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</si>
  <si>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</si>
  <si>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0027.HK</t>
  </si>
  <si>
    <t>銀河娛樂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</si>
</sst>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0027.HK : 銀河娛樂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228</v>
      </c>
      <c r="D3" s="202"/>
      <c r="E3" s="94"/>
      <c r="F3" s="3" t="s">
        <v>1</v>
      </c>
      <c r="G3" s="169">
        <v>36.349998474121094</v>
      </c>
      <c r="H3" s="171" t="s">
        <v>2</v>
      </c>
    </row>
    <row r="4" spans="1:10" ht="15.75" customHeight="1" x14ac:dyDescent="0.25">
      <c r="B4" s="35" t="s">
        <v>218</v>
      </c>
      <c r="C4" s="203" t="s">
        <v>229</v>
      </c>
      <c r="D4" s="204"/>
      <c r="E4" s="94"/>
      <c r="F4" s="3" t="s">
        <v>3</v>
      </c>
      <c r="G4" s="207">
        <v>4373586962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158979.87939513591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220</v>
      </c>
      <c r="E7" s="94"/>
      <c r="F7" s="35" t="s">
        <v>6</v>
      </c>
      <c r="G7" s="170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0.47272944175123971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0.35112695227219692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2.9999999999999995E-2</v>
      </c>
      <c r="F23" s="178" t="s">
        <v>209</v>
      </c>
      <c r="G23" s="184">
        <f>G3/(Data!C34*Data!E3/Common_Shares*Exchange_Rate)</f>
        <v>12.358608517817531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2.4602289751263124E-2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0.55910075447424012</v>
      </c>
    </row>
    <row r="26" spans="1:8" ht="15.75" customHeight="1" x14ac:dyDescent="0.15">
      <c r="B26" s="176" t="s">
        <v>191</v>
      </c>
      <c r="C26" s="175">
        <f>Fin_Analysis!F83</f>
        <v>0.1461436059765634</v>
      </c>
      <c r="F26" s="180" t="s">
        <v>216</v>
      </c>
      <c r="G26" s="179">
        <f>Fin_Analysis!E87*Exchange_Rate/G3</f>
        <v>1.3755158761725079E-2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6.2546978483516424</v>
      </c>
      <c r="D29" s="165">
        <f>IF(Fin_Analysis!C106="Profit",Fin_Analysis!F98,IF(Fin_Analysis!C106="Dividend",Fin_Analysis!F101,Fin_Analysis!F104))</f>
        <v>10.387204912636951</v>
      </c>
      <c r="E29" s="94"/>
      <c r="F29" s="167">
        <f>IF(Fin_Analysis!C106="Profit",Fin_Analysis!D98,IF(Fin_Analysis!C106="Dividend",Fin_Analysis!D101,Fin_Analysis!D104))</f>
        <v>8.3097639301095612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17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35684253</v>
      </c>
      <c r="D6" s="58">
        <v>11473793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2.1100659563929729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12681790+1351505+2835702</f>
        <v>16868997</v>
      </c>
      <c r="D8" s="92">
        <f>3072455+1362098+2088338</f>
        <v>6522891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18815256</v>
      </c>
      <c r="D9" s="101">
        <f t="shared" si="2"/>
        <v>4950902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7202858+5326845</f>
        <v>12529703</v>
      </c>
      <c r="D10" s="92">
        <f>5730219+2662257</f>
        <v>8392476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6285553</v>
      </c>
      <c r="D13" s="101">
        <f t="shared" ref="D13:M13" si="4">IF(D6="","",(D9-D10+D12))</f>
        <v>-3441574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46020</v>
      </c>
      <c r="D18" s="92">
        <v>-14407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6224193</v>
      </c>
      <c r="D19" s="95">
        <f>IF(D6="","",D13-D14-MAX(D15,0)-MAX(D16,0)-D17-MAX(D18/(1-Fin_Analysis!$F$84),0))</f>
        <v>-3441574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0.13081805999974275</v>
      </c>
      <c r="D21" s="56">
        <f t="shared" si="6"/>
        <v>-0.22496313991371467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4668144.75</v>
      </c>
      <c r="D22" s="95">
        <f>IF(D6="","",D19*(1-Fin_Analysis!$F$84))</f>
        <v>-2581180.5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0.44681549382313246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0.47272944175123971</v>
      </c>
      <c r="D40" s="61">
        <f t="shared" si="21"/>
        <v>0.56850345827225579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0.35112695227219692</v>
      </c>
      <c r="D41" s="56">
        <f t="shared" si="22"/>
        <v>0.7314473949460305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1.7195259769063962E-3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0.17442407999965698</v>
      </c>
      <c r="D46" s="56">
        <f t="shared" si="26"/>
        <v>-0.29995085321828624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7.4479070642168126E-3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0.27105109920614001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6.4225403124700113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2" zoomScaleNormal="100" workbookViewId="0">
      <selection activeCell="C97" sqref="C9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3732661.2</v>
      </c>
      <c r="E6" s="56">
        <f>1-D6/D3</f>
        <v>0.70983435969408337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0.85345535196425804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35684253</v>
      </c>
      <c r="D74" s="130"/>
      <c r="E74" s="148">
        <f>C74</f>
        <v>35684253</v>
      </c>
      <c r="F74" s="130"/>
    </row>
    <row r="75" spans="1:9" ht="15" customHeight="1" x14ac:dyDescent="0.15">
      <c r="B75" s="117" t="s">
        <v>109</v>
      </c>
      <c r="C75" s="95">
        <f>Data!C8</f>
        <v>16868997</v>
      </c>
      <c r="D75" s="131">
        <f>C75/$C$74</f>
        <v>0.47272944175123971</v>
      </c>
      <c r="E75" s="148">
        <f>D75*E74</f>
        <v>16868997</v>
      </c>
      <c r="F75" s="149">
        <f>E75/$E$74</f>
        <v>0.47272944175123971</v>
      </c>
    </row>
    <row r="76" spans="1:9" ht="15" customHeight="1" x14ac:dyDescent="0.15">
      <c r="B76" s="35" t="s">
        <v>96</v>
      </c>
      <c r="C76" s="118">
        <f>C74-C75</f>
        <v>18815256</v>
      </c>
      <c r="D76" s="132"/>
      <c r="E76" s="150">
        <f>E74-E75</f>
        <v>18815256</v>
      </c>
      <c r="F76" s="132"/>
    </row>
    <row r="77" spans="1:9" ht="15" customHeight="1" x14ac:dyDescent="0.15">
      <c r="B77" s="117" t="s">
        <v>133</v>
      </c>
      <c r="C77" s="95">
        <f>Data!C10-Data!C12</f>
        <v>12529703</v>
      </c>
      <c r="D77" s="131">
        <f>C77/$C$74</f>
        <v>0.35112695227219692</v>
      </c>
      <c r="E77" s="148">
        <f>D77*E74</f>
        <v>12529703</v>
      </c>
      <c r="F77" s="149">
        <f>E77/$E$74</f>
        <v>0.35112695227219692</v>
      </c>
    </row>
    <row r="78" spans="1:9" ht="15" customHeight="1" x14ac:dyDescent="0.15">
      <c r="B78" s="35" t="s">
        <v>97</v>
      </c>
      <c r="C78" s="118">
        <f>C76-C77</f>
        <v>6285553</v>
      </c>
      <c r="D78" s="132"/>
      <c r="E78" s="150">
        <f>E76-E77</f>
        <v>6285553</v>
      </c>
      <c r="F78" s="132"/>
    </row>
    <row r="79" spans="1:9" ht="15" customHeight="1" x14ac:dyDescent="0.15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1070527.5899999999</v>
      </c>
      <c r="F80" s="149">
        <f t="shared" ref="F80:F83" si="8">E80/$E$74</f>
        <v>2.9999999999999995E-2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46020</v>
      </c>
      <c r="D82" s="131">
        <f>C82/$C$74</f>
        <v>1.2896444826797971E-3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6239533</v>
      </c>
      <c r="D83" s="133">
        <f>C83/$C$74</f>
        <v>0.1748539614938836</v>
      </c>
      <c r="E83" s="151">
        <f>E78-E79-E80-E81-E82</f>
        <v>5215025.41</v>
      </c>
      <c r="F83" s="135">
        <f t="shared" si="8"/>
        <v>0.1461436059765634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4679649.75</v>
      </c>
      <c r="D85" s="135">
        <f>C85/$C$74</f>
        <v>0.13114047112041269</v>
      </c>
      <c r="E85" s="153">
        <f>E83*(1-F84)</f>
        <v>3911269.0575000001</v>
      </c>
      <c r="F85" s="135">
        <f>E85/$E$74</f>
        <v>0.10960770448242255</v>
      </c>
    </row>
    <row r="86" spans="1:8" ht="15" customHeight="1" x14ac:dyDescent="0.15">
      <c r="B86" s="94" t="s">
        <v>174</v>
      </c>
      <c r="C86" s="159">
        <f>C85*Data!E3/Common_Shares</f>
        <v>1.0699798107729954</v>
      </c>
      <c r="D86" s="130"/>
      <c r="E86" s="161">
        <f>E85*Data!E3/Common_Shares</f>
        <v>0.89429319491829962</v>
      </c>
      <c r="F86" s="130"/>
    </row>
    <row r="87" spans="1:8" ht="15" customHeight="1" x14ac:dyDescent="0.15">
      <c r="B87" s="93" t="s">
        <v>175</v>
      </c>
      <c r="C87" s="162">
        <f>0.5+0.3</f>
        <v>0.8</v>
      </c>
      <c r="D87" s="135">
        <f>C87/C86</f>
        <v>0.74767765891026361</v>
      </c>
      <c r="E87" s="160">
        <v>0.5</v>
      </c>
      <c r="F87" s="135">
        <f>E87/E86</f>
        <v>0.55910075447424012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211</v>
      </c>
      <c r="D91" s="211" t="s">
        <v>221</v>
      </c>
      <c r="E91" s="211"/>
      <c r="F91" s="29">
        <f>E86*Exchange_Rate/Dashboard!G3</f>
        <v>2.4602289751263124E-2</v>
      </c>
      <c r="H91" s="195"/>
    </row>
    <row r="92" spans="1:8" ht="15" customHeight="1" x14ac:dyDescent="0.15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222</v>
      </c>
      <c r="F92" s="193">
        <f>FV(F91,D92,0,-(E86/C92))</f>
        <v>12.022014582086664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224</v>
      </c>
      <c r="E94" s="155" t="s">
        <v>225</v>
      </c>
      <c r="H94" s="24"/>
    </row>
    <row r="95" spans="1:8" ht="15" customHeight="1" x14ac:dyDescent="0.15">
      <c r="B95" s="1" t="s">
        <v>140</v>
      </c>
      <c r="C95" s="102">
        <f>D95*Common_Shares/Data!E3</f>
        <v>35129227.98202505</v>
      </c>
      <c r="D95" s="154">
        <f>PV(C92,D92,0,-F92)*Exchange_Rate</f>
        <v>8.0321320433881986</v>
      </c>
      <c r="E95" s="154">
        <f>PV(15%,D92,0,-F92)*Exchange_Rate</f>
        <v>5.9770659616302826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1214247.2000000002</v>
      </c>
      <c r="D97" s="197">
        <f>C97*Data!$E$3/Common_Shares</f>
        <v>0.2776318867213598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36343475.182025053</v>
      </c>
      <c r="D98" s="124">
        <f>MAX(C98*Data!$E$3/Common_Shares,0)</f>
        <v>8.3097639301095612</v>
      </c>
      <c r="E98" s="124">
        <f>E95*Exchange_Rate-D96+D97</f>
        <v>6.2546978483516424</v>
      </c>
      <c r="F98" s="124">
        <f>D98*1.25</f>
        <v>10.387204912636951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34168648.140625</v>
      </c>
      <c r="D101" s="154">
        <f>E87/(C92-2%)*Exchange_Rate</f>
        <v>7.8125</v>
      </c>
      <c r="E101" s="124">
        <f>D101*(1-25%)</f>
        <v>5.859375</v>
      </c>
      <c r="F101" s="124">
        <f>D101*1.25</f>
        <v>9.765625</v>
      </c>
      <c r="H101" s="24" t="s">
        <v>223</v>
      </c>
    </row>
    <row r="102" spans="2:8" ht="15" customHeight="1" x14ac:dyDescent="0.15">
      <c r="H102" s="24"/>
    </row>
    <row r="103" spans="2:8" ht="15" customHeight="1" x14ac:dyDescent="0.15">
      <c r="B103" s="10" t="s">
        <v>226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227</v>
      </c>
      <c r="C104" s="102">
        <f>D104*Common_Shares/Data!E3</f>
        <v>35256061.66132503</v>
      </c>
      <c r="D104" s="154">
        <f>(D98+D101)/2</f>
        <v>8.0611319650547806</v>
      </c>
      <c r="E104" s="124">
        <f>D104*(1-25%)</f>
        <v>6.0458489737910854</v>
      </c>
      <c r="F104" s="124">
        <f>D104*1.25</f>
        <v>10.076414956318477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