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DE731FA9-051D-1546-BE9B-DE73B3F3BDD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D10" i="2"/>
  <c r="C10" i="2"/>
  <c r="E87" i="3" l="1"/>
  <c r="C92" i="3"/>
  <c r="D101" i="3" s="1"/>
  <c r="B92" i="3" l="1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E80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<sst xmlns="http://schemas.openxmlformats.org/spreadsheetml/2006/main" count="253" uniqueCount="231">
  <si>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</si>
  <si>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</si>
  <si>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</si>
  <si>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</si>
  <si>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</si>
  <si>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</si>
  <si>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</si>
  <si>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</si>
  <si>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</si>
  <si>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</si>
  <si>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</si>
  <si>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</si>
  <si>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</si>
  <si>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</si>
  <si>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</si>
  <si>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</si>
  <si>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</si>
  <si>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</si>
  <si>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</si>
  <si>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</si>
  <si>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</si>
  <si>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</si>
  <si>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</si>
  <si>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</si>
  <si>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</si>
  <si>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</si>
  <si>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</si>
  <si>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</si>
  <si>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</si>
  <si>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</si>
  <si>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</si>
  <si>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</si>
  <si>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</si>
  <si>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</si>
  <si>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</si>
  <si>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</si>
  <si>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</si>
  <si>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</si>
  <si>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</si>
  <si>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</si>
  <si>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</si>
  <si>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</si>
  <si>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</si>
  <si>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</si>
  <si>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</si>
  <si>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</si>
  <si>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</si>
  <si>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</si>
  <si>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</si>
  <si>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</si>
  <si>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</si>
  <si>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</si>
  <si>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</si>
  <si>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</si>
  <si>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</si>
  <si>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</si>
  <si>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</si>
  <si>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</si>
  <si>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</si>
  <si>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</si>
  <si>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</si>
  <si>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</si>
  <si>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</si>
  <si>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</si>
  <si>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</si>
  <si>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</si>
  <si>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</si>
  <si>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</si>
  <si>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</si>
  <si>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</si>
  <si>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</si>
  <si>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</si>
  <si>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</si>
  <si>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</si>
  <si>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</si>
  <si>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</si>
  <si>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</si>
  <si>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</si>
  <si>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</si>
  <si>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</si>
  <si>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</si>
  <si>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</si>
  <si>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</si>
  <si>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</si>
  <si>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</si>
  <si>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</si>
  <si>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</si>
  <si>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</si>
  <si>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</si>
  <si>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</si>
  <si>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</si>
  <si>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</si>
  <si>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</si>
  <si>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</si>
  <si>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</si>
  <si>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</si>
  <si>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</si>
  <si>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</si>
  <si>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</si>
  <si>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</si>
  <si>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</si>
  <si>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</si>
  <si>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</si>
  <si>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</si>
  <si>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</si>
  <si>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</si>
  <si>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</si>
  <si>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</si>
  <si>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</si>
  <si>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</si>
  <si>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</si>
  <si>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</si>
  <si>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</si>
  <si>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</si>
  <si>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</si>
  <si>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</si>
  <si>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</si>
  <si>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</si>
  <si>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</si>
  <si>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</si>
  <si>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</si>
  <si>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</si>
  <si>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</si>
  <si>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</si>
  <si>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</si>
  <si>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</si>
  <si>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</si>
  <si>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</si>
  <si>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</si>
  <si>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</si>
  <si>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</si>
  <si>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</si>
  <si>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</si>
  <si>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</si>
  <si>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</si>
  <si>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</si>
  <si>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</si>
  <si>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</si>
  <si>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</si>
  <si>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</si>
  <si>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</si>
  <si>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</si>
  <si>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</si>
  <si>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</si>
  <si>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</si>
  <si>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</si>
  <si>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</si>
  <si>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</si>
  <si>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</si>
  <si>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</si>
  <si>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</si>
  <si>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</si>
  <si>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</si>
  <si>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</si>
  <si>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</si>
  <si>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</si>
  <si>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</si>
  <si>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</si>
  <si>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</si>
  <si>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</si>
  <si>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</si>
  <si>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</si>
  <si>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</si>
  <si>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</si>
  <si>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</si>
  <si>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</si>
  <si>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</si>
  <si>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</si>
  <si>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</si>
  <si>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</si>
  <si>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</si>
  <si>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</si>
  <si>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</si>
  <si>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</si>
  <si>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</si>
  <si>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</si>
  <si>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</si>
  <si>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</si>
  <si>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</si>
  <si>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</si>
  <si>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</si>
  <si>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</si>
  <si>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</si>
  <si>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</si>
  <si>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</si>
  <si>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</si>
  <si>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</si>
  <si>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</si>
  <si>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</si>
  <si>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</si>
  <si>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</si>
  <si>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</si>
  <si>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</si>
  <si>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</si>
  <si>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</si>
  <si>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</si>
  <si>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</si>
  <si>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</si>
  <si>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</si>
  <si>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</si>
  <si>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</si>
  <si>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</si>
  <si>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</si>
  <si>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</si>
  <si>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</si>
  <si>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</si>
  <si>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</si>
  <si>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</si>
  <si>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</si>
  <si>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</si>
  <si>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</si>
  <si>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</si>
  <si>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</si>
  <si>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</si>
  <si>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</si>
  <si>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</si>
  <si>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</si>
  <si>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</si>
  <si>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</si>
  <si>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</si>
  <si>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</si>
  <si>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</si>
  <si>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</si>
  <si>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</si>
  <si>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</si>
  <si>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</si>
  <si>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</si>
  <si>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0069.HK</t>
  </si>
  <si>
    <t>SHANGRI-LA ASIA</t>
  </si>
  <si>
    <t>C0011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</si>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</sst>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9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9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2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3" fontId="6" fillId="0" borderId="3" xfId="0" applyNumberFormat="1" applyFont="1" applyBorder="1" applyAlignment="1">
      <alignment horizontal="center"/>
    </xf>
    <xf numFmtId="173" fontId="2" fillId="0" borderId="12" xfId="0" applyNumberFormat="1" applyFont="1" applyBorder="1" applyAlignment="1">
      <alignment horizontal="center"/>
    </xf>
    <xf numFmtId="173" fontId="1" fillId="0" borderId="11" xfId="0" applyNumberFormat="1" applyFont="1" applyBorder="1" applyAlignment="1">
      <alignment horizontal="center"/>
    </xf>
    <xf numFmtId="173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7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1" fontId="2" fillId="8" borderId="3" xfId="0" applyNumberFormat="1" applyFont="1" applyFill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0" fontId="25" fillId="0" borderId="3" xfId="2" applyFont="1" applyBorder="1"/>
    <xf numFmtId="0" fontId="4" fillId="0" borderId="0" xfId="0" quotePrefix="1" applyFont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65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3" sqref="C13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0069.HK : SHANGRI-LA ASIA</v>
      </c>
      <c r="D2" s="94"/>
      <c r="E2" s="7"/>
      <c r="F2" s="7"/>
      <c r="G2" s="93"/>
      <c r="H2" s="93"/>
    </row>
    <row r="3" spans="1:10" ht="15.75" customHeight="1" x14ac:dyDescent="0.15">
      <c r="B3" s="3" t="s">
        <v>217</v>
      </c>
      <c r="C3" s="201" t="s">
        <v>227</v>
      </c>
      <c r="D3" s="202"/>
      <c r="E3" s="94"/>
      <c r="F3" s="3" t="s">
        <v>1</v>
      </c>
      <c r="G3" s="169">
        <v>5.4600000381469727</v>
      </c>
      <c r="H3" s="171" t="s">
        <v>2</v>
      </c>
    </row>
    <row r="4" spans="1:10" ht="15.75" customHeight="1" x14ac:dyDescent="0.15">
      <c r="B4" s="35" t="s">
        <v>218</v>
      </c>
      <c r="C4" s="203" t="s">
        <v>228</v>
      </c>
      <c r="D4" s="204"/>
      <c r="E4" s="94"/>
      <c r="F4" s="3" t="s">
        <v>3</v>
      </c>
      <c r="G4" s="207">
        <v>3585525056</v>
      </c>
      <c r="H4" s="207"/>
      <c r="I4" s="39"/>
    </row>
    <row r="5" spans="1:10" ht="15.75" customHeight="1" x14ac:dyDescent="0.15">
      <c r="B5" s="3" t="s">
        <v>178</v>
      </c>
      <c r="C5" s="205">
        <v>45603</v>
      </c>
      <c r="D5" s="206"/>
      <c r="E5" s="34"/>
      <c r="F5" s="35" t="s">
        <v>102</v>
      </c>
      <c r="G5" s="199">
        <f>G3*G4/1000000</f>
        <v>19576.966942536925</v>
      </c>
      <c r="H5" s="199"/>
      <c r="I5" s="38"/>
      <c r="J5" s="28"/>
    </row>
    <row r="6" spans="1:10" ht="15.75" customHeight="1" x14ac:dyDescent="0.15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230</v>
      </c>
      <c r="H6" s="200"/>
      <c r="I6" s="38"/>
    </row>
    <row r="7" spans="1:10" ht="15.75" customHeight="1" x14ac:dyDescent="0.15">
      <c r="B7" s="93" t="s">
        <v>215</v>
      </c>
      <c r="C7" s="186" t="s">
        <v>71</v>
      </c>
      <c r="D7" s="192" t="s">
        <v>229</v>
      </c>
      <c r="E7" s="94"/>
      <c r="F7" s="35" t="s">
        <v>6</v>
      </c>
      <c r="G7" s="170">
        <v>7.7716633478800459</v>
      </c>
      <c r="H7" s="77" t="str">
        <f>IF(G6=Dashboard!H3,H3,G6&amp;"/"&amp;Dashboard!H3)</f>
        <v>USD/HKD</v>
      </c>
    </row>
    <row r="8" spans="1:10" ht="15.75" customHeight="1" x14ac:dyDescent="0.15"/>
    <row r="9" spans="1:10" ht="15.75" customHeight="1" x14ac:dyDescent="0.15">
      <c r="B9" s="177" t="s">
        <v>213</v>
      </c>
      <c r="F9" s="183" t="s">
        <v>206</v>
      </c>
    </row>
    <row r="10" spans="1:10" ht="15.75" customHeight="1" x14ac:dyDescent="0.15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2">
      <c r="B11" s="146" t="s">
        <v>199</v>
      </c>
      <c r="C11" s="181">
        <v>5.3099999999999994E-2</v>
      </c>
      <c r="D11" s="174" t="s">
        <v>211</v>
      </c>
      <c r="F11" s="125" t="s">
        <v>197</v>
      </c>
    </row>
    <row r="12" spans="1:10" ht="15.75" customHeight="1" thickTop="1" x14ac:dyDescent="0.15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15"/>
    <row r="14" spans="1:10" ht="15.75" customHeight="1" x14ac:dyDescent="0.15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15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2">
      <c r="B16" s="146" t="s">
        <v>208</v>
      </c>
      <c r="C16" s="181">
        <v>0.16</v>
      </c>
      <c r="D16" s="191" t="s">
        <v>212</v>
      </c>
      <c r="F16" s="125" t="s">
        <v>198</v>
      </c>
    </row>
    <row r="17" spans="1:8" ht="15.75" customHeight="1" thickTop="1" x14ac:dyDescent="0.15">
      <c r="B17" s="94" t="s">
        <v>201</v>
      </c>
      <c r="C17" s="190">
        <v>8.8000000000000009E-2</v>
      </c>
      <c r="D17" s="185"/>
    </row>
    <row r="18" spans="1:8" ht="15.75" customHeight="1" x14ac:dyDescent="0.15"/>
    <row r="19" spans="1:8" ht="15.75" customHeight="1" x14ac:dyDescent="0.15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15">
      <c r="B20" s="174" t="s">
        <v>185</v>
      </c>
      <c r="C20" s="175">
        <f>Fin_Analysis!F75</f>
        <v>0.45524911405880131</v>
      </c>
      <c r="F20" s="94"/>
      <c r="G20" s="29"/>
    </row>
    <row r="21" spans="1:8" ht="15.75" customHeight="1" x14ac:dyDescent="0.15">
      <c r="B21" s="174" t="s">
        <v>186</v>
      </c>
      <c r="C21" s="175">
        <f>Fin_Analysis!F77</f>
        <v>0.44873026767330132</v>
      </c>
      <c r="F21" s="94"/>
      <c r="G21" s="29"/>
    </row>
    <row r="22" spans="1:8" ht="15.75" customHeight="1" x14ac:dyDescent="0.15">
      <c r="B22" s="174" t="s">
        <v>187</v>
      </c>
      <c r="C22" s="175">
        <f>Fin_Analysis!F79</f>
        <v>0.12063647696552883</v>
      </c>
      <c r="F22" s="182" t="s">
        <v>205</v>
      </c>
    </row>
    <row r="23" spans="1:8" ht="15.75" customHeight="1" x14ac:dyDescent="0.15">
      <c r="B23" s="174" t="s">
        <v>188</v>
      </c>
      <c r="C23" s="175">
        <f>Fin_Analysis!F80</f>
        <v>0.03</v>
      </c>
      <c r="F23" s="178" t="s">
        <v>209</v>
      </c>
      <c r="G23" s="184">
        <f>G3/(Data!C34*Data!E3/Common_Shares*Exchange_Rate)</f>
        <v>0.19582080881783459</v>
      </c>
    </row>
    <row r="24" spans="1:8" ht="15.75" customHeight="1" x14ac:dyDescent="0.15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-3.4827755607560087E-2</v>
      </c>
    </row>
    <row r="25" spans="1:8" ht="15.75" customHeight="1" x14ac:dyDescent="0.15">
      <c r="B25" s="174" t="s">
        <v>214</v>
      </c>
      <c r="C25" s="175">
        <f>Fin_Analysis!F82</f>
        <v>0</v>
      </c>
      <c r="F25" s="178" t="s">
        <v>193</v>
      </c>
      <c r="G25" s="175">
        <f>Fin_Analysis!F87</f>
        <v>-1.0479275028623996</v>
      </c>
    </row>
    <row r="26" spans="1:8" ht="15.75" customHeight="1" x14ac:dyDescent="0.15">
      <c r="B26" s="176" t="s">
        <v>191</v>
      </c>
      <c r="C26" s="175">
        <f>Fin_Analysis!F83</f>
        <v>-5.4615858697631421E-2</v>
      </c>
      <c r="F26" s="180" t="s">
        <v>216</v>
      </c>
      <c r="G26" s="179">
        <f>Fin_Analysis!E87*Exchange_Rate/G3</f>
        <v>3.6496962964132379E-2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15">
      <c r="B29" s="94" t="s">
        <v>184</v>
      </c>
      <c r="C29" s="166">
        <f>IF(Fin_Analysis!C106="Profit",Fin_Analysis!E98,IF(Fin_Analysis!C106="Dividend",Fin_Analysis!E101,Fin_Analysis!E104))</f>
        <v>-4.69445783460535</v>
      </c>
      <c r="D29" s="165">
        <f>IF(Fin_Analysis!C106="Profit",Fin_Analysis!F98,IF(Fin_Analysis!C106="Dividend",Fin_Analysis!F101,Fin_Analysis!F104))</f>
        <v>1.7063359972256666</v>
      </c>
      <c r="E29" s="94"/>
      <c r="F29" s="167">
        <f>IF(Fin_Analysis!C106="Profit",Fin_Analysis!D98,IF(Fin_Analysis!C106="Dividend",Fin_Analysis!D101,Fin_Analysis!D104))</f>
        <v>1.3650687977805334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0" priority="4">
      <formula>LEN(TRIM(C11))=0</formula>
    </cfRule>
  </conditionalFormatting>
  <conditionalFormatting sqref="D12">
    <cfRule type="containsBlanks" dxfId="9" priority="2">
      <formula>LEN(TRIM(D12))=0</formula>
    </cfRule>
  </conditionalFormatting>
  <conditionalFormatting sqref="D17">
    <cfRule type="containsBlanks" dxfId="8" priority="1">
      <formula>LEN(TRIM(D17))=0</formula>
    </cfRule>
  </conditionalFormatting>
  <conditionalFormatting sqref="E28">
    <cfRule type="cellIs" dxfId="7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C30" sqref="C30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USD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2141790</v>
      </c>
      <c r="D6" s="58">
        <v>1462145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0.46482735980357615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v>975048</v>
      </c>
      <c r="D8" s="92">
        <v>775627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1166742</v>
      </c>
      <c r="D9" s="101">
        <f t="shared" si="2"/>
        <v>686518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>
        <f>80205+241069+639812</f>
        <v>961086</v>
      </c>
      <c r="D10" s="92">
        <f>64947+195389+539378</f>
        <v>799714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205656</v>
      </c>
      <c r="D13" s="101">
        <f t="shared" ref="D13:M13" si="4">IF(D6="","",(D9-D10+D12))</f>
        <v>-113196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129</v>
      </c>
      <c r="C17" s="92">
        <v>258378</v>
      </c>
      <c r="D17" s="92">
        <v>360932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>
        <v>17537</v>
      </c>
      <c r="D18" s="92">
        <v>-28933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-76104.666666666672</v>
      </c>
      <c r="D19" s="95">
        <f>IF(D6="","",D13-D14-MAX(D15,0)-MAX(D16,0)-D17-MAX(D18/(1-Fin_Analysis!$F$84),0))</f>
        <v>-474128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>
        <f>IF(D19="","",IF(ABS(C19+D19)=ABS(C19)+ABS(D19),IF(C19&lt;0,-1,1)*(C19-D19)/D19,"Turn"))</f>
        <v>0.83948497733382821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-2.6649904986016368E-2</v>
      </c>
      <c r="D21" s="56">
        <f t="shared" si="6"/>
        <v>-0.24320159765276358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-57078.5</v>
      </c>
      <c r="D22" s="95">
        <f>IF(D6="","",D19*(1-Fin_Analysis!$F$84))</f>
        <v>-355596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138</v>
      </c>
      <c r="C23" s="80">
        <f>IF(D22="","",IF(ABS(C22+D22)=ABS(C22)+ABS(D22),IF(C22&lt;0,-1,1)*(C22-D22)/D22,"Turn"))</f>
        <v>0.83948497733382832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12332308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121</v>
      </c>
      <c r="C27" s="41">
        <f>Fin_Analysis!C13</f>
        <v>265773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161</v>
      </c>
      <c r="C28" s="41">
        <f>Fin_Analysis!C18</f>
        <v>9672256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3516809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120</v>
      </c>
      <c r="C30" s="41">
        <f>Fin_Analysis!I48</f>
        <v>473357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649697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319420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150</v>
      </c>
      <c r="C34" s="41">
        <f>Fin_Analysis!D3</f>
        <v>12863898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151</v>
      </c>
      <c r="C35" s="41">
        <f>Fin_Analysis!D4</f>
        <v>-26962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149</v>
      </c>
      <c r="C36" s="41">
        <f>Fin_Analysis!C63</f>
        <v>2923945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171</v>
      </c>
      <c r="C38" s="104">
        <f>IF(C6="","",C19/C37)</f>
        <v>-5.4633177696950521E-3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0.45524911405880131</v>
      </c>
      <c r="D40" s="61">
        <f t="shared" si="21"/>
        <v>0.5304720120097528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126</v>
      </c>
      <c r="C41" s="56">
        <f t="shared" ref="C41:M41" si="22">IF(C6="","",(C10-C12)/C6)</f>
        <v>0.44873026767330132</v>
      </c>
      <c r="D41" s="56">
        <f t="shared" si="22"/>
        <v>0.54694575435404835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0</v>
      </c>
      <c r="D42" s="56">
        <f t="shared" si="23"/>
        <v>0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127</v>
      </c>
      <c r="C44" s="56">
        <f t="shared" ref="C44:M44" si="25">IF(C6="","",C17/C6)</f>
        <v>0.12063647696552883</v>
      </c>
      <c r="D44" s="56">
        <f t="shared" si="25"/>
        <v>0.2468510305065503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139</v>
      </c>
      <c r="C45" s="56">
        <f>IF(C6="","",MAX(C18,0)/(1-Fin_Analysis!$F$84)/C6)</f>
        <v>1.0917347950390406E-2</v>
      </c>
      <c r="D45" s="56">
        <f>IF(D6="","",MAX(D18,0)/(1-Fin_Analysis!$F$84)/D6)</f>
        <v>0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130</v>
      </c>
      <c r="C46" s="56">
        <f t="shared" ref="C46:M46" si="26">IF(C6="","",C19/C6)</f>
        <v>-3.5533206648021828E-2</v>
      </c>
      <c r="D46" s="56">
        <f t="shared" si="26"/>
        <v>-0.32426879687035143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159</v>
      </c>
      <c r="C48" s="61">
        <f t="shared" ref="C48:M48" si="27">IF(C6="","",C27/C6)</f>
        <v>0.12408919641981707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160</v>
      </c>
      <c r="C49" s="56">
        <f t="shared" ref="C49:M49" si="28">IF(C6="","",C28/C6)</f>
        <v>4.5159684189392983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0.23674800333023538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125</v>
      </c>
      <c r="C52" s="60">
        <f t="shared" ref="C52:M52" si="30">IF(C19="","",IF(C33&lt;=0,"-",C19/C33))</f>
        <v>-7.8529905745814671E-2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128</v>
      </c>
      <c r="C53" s="56">
        <f t="shared" ref="C53:M53" si="31">IF(C19="","",IF(C17&lt;=0,"-",C17/C19))</f>
        <v>-3.3950349080652082</v>
      </c>
      <c r="D53" s="56">
        <f t="shared" si="31"/>
        <v>-0.76125434481827692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3.5066755118062995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6" priority="3">
      <formula>LEN(TRIM(C6))=0</formula>
    </cfRule>
  </conditionalFormatting>
  <conditionalFormatting sqref="C23:M23">
    <cfRule type="containsBlanks" dxfId="5" priority="2">
      <formula>LEN(TRIM(C23))=0</formula>
    </cfRule>
  </conditionalFormatting>
  <conditionalFormatting sqref="D22:M22">
    <cfRule type="containsBlanks" dxfId="4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zoomScaleNormal="100" workbookViewId="0">
      <selection activeCell="D91" sqref="D91:E91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0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15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2">
      <c r="B6" s="20" t="s">
        <v>27</v>
      </c>
      <c r="C6" s="94"/>
      <c r="D6" s="75">
        <f>(E49-I49-E53)*Exchange_Rate</f>
        <v>29008986.23809395</v>
      </c>
      <c r="E6" s="56">
        <f>1-D6/D3</f>
        <v>-1.255069671579637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62.877283406090747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219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4" x14ac:dyDescent="0.15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4" x14ac:dyDescent="0.15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4" x14ac:dyDescent="0.15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4" x14ac:dyDescent="0.15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4" x14ac:dyDescent="0.15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4" x14ac:dyDescent="0.15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15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15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15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15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15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4" x14ac:dyDescent="0.15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4" x14ac:dyDescent="0.15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4" x14ac:dyDescent="0.15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2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15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MAX(D4,0)</f>
        <v>0</v>
      </c>
      <c r="D53" s="29">
        <f>IF(E53=0, 0,E53/C53)</f>
        <v>0</v>
      </c>
      <c r="E53" s="95">
        <f>MAX(C53,C53*Dashboard!G23)</f>
        <v>0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163</v>
      </c>
      <c r="C55" s="3"/>
      <c r="E55" s="157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08">
        <f>I15+I34</f>
        <v>969117</v>
      </c>
      <c r="E56" s="209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4" x14ac:dyDescent="0.15">
      <c r="B62" s="35" t="s">
        <v>152</v>
      </c>
      <c r="C62" s="141">
        <f>C11+C30</f>
        <v>1998219</v>
      </c>
      <c r="D62" s="122">
        <f t="shared" si="7"/>
        <v>1</v>
      </c>
      <c r="E62" s="142">
        <f>E11+E30</f>
        <v>1998219</v>
      </c>
      <c r="F62" s="94"/>
      <c r="G62" s="94"/>
      <c r="H62" s="94"/>
      <c r="I62" s="94"/>
    </row>
    <row r="63" spans="2:10" ht="14" x14ac:dyDescent="0.15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thickBot="1" x14ac:dyDescent="0.2">
      <c r="B64" s="145" t="s">
        <v>164</v>
      </c>
      <c r="C64" s="146"/>
      <c r="D64" s="147"/>
      <c r="E64" s="75">
        <f>D56+D57+D58</f>
        <v>969117</v>
      </c>
      <c r="F64" s="94"/>
      <c r="G64" s="94"/>
      <c r="H64" s="94"/>
      <c r="I64" s="94"/>
    </row>
    <row r="65" spans="1:9" thickTop="1" x14ac:dyDescent="0.15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thickBot="1" x14ac:dyDescent="0.2">
      <c r="B69" s="145" t="s">
        <v>165</v>
      </c>
      <c r="C69" s="146"/>
      <c r="D69" s="147"/>
      <c r="E69" s="158">
        <f>I49-E64</f>
        <v>3021049</v>
      </c>
      <c r="F69" s="94"/>
      <c r="G69" s="94"/>
      <c r="H69" s="94"/>
      <c r="I69" s="94"/>
    </row>
    <row r="70" spans="1:9" thickTop="1" x14ac:dyDescent="0.15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15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15">
      <c r="B73" s="12" t="str">
        <f>"(Numbers in "&amp;Data!E3&amp;Dashboard!G6&amp;")"</f>
        <v>(Numbers in 1000USD)</v>
      </c>
      <c r="C73" s="212" t="s">
        <v>103</v>
      </c>
      <c r="D73" s="212"/>
      <c r="E73" s="214" t="s">
        <v>104</v>
      </c>
      <c r="F73" s="212"/>
    </row>
    <row r="74" spans="1:9" ht="15" customHeight="1" x14ac:dyDescent="0.15">
      <c r="B74" s="3" t="s">
        <v>136</v>
      </c>
      <c r="C74" s="95">
        <f>Data!C6</f>
        <v>2141790</v>
      </c>
      <c r="D74" s="130"/>
      <c r="E74" s="148">
        <f>C74</f>
        <v>2141790</v>
      </c>
      <c r="F74" s="130"/>
    </row>
    <row r="75" spans="1:9" ht="15" customHeight="1" x14ac:dyDescent="0.15">
      <c r="B75" s="117" t="s">
        <v>109</v>
      </c>
      <c r="C75" s="95">
        <f>Data!C8</f>
        <v>975048</v>
      </c>
      <c r="D75" s="131">
        <f>C75/$C$74</f>
        <v>0.45524911405880131</v>
      </c>
      <c r="E75" s="148">
        <f>D75*E74</f>
        <v>975048</v>
      </c>
      <c r="F75" s="149">
        <f>E75/$E$74</f>
        <v>0.45524911405880131</v>
      </c>
    </row>
    <row r="76" spans="1:9" ht="15" customHeight="1" x14ac:dyDescent="0.15">
      <c r="B76" s="35" t="s">
        <v>96</v>
      </c>
      <c r="C76" s="118">
        <f>C74-C75</f>
        <v>1166742</v>
      </c>
      <c r="D76" s="132"/>
      <c r="E76" s="150">
        <f>E74-E75</f>
        <v>1166742</v>
      </c>
      <c r="F76" s="132"/>
    </row>
    <row r="77" spans="1:9" ht="15" customHeight="1" x14ac:dyDescent="0.15">
      <c r="B77" s="117" t="s">
        <v>133</v>
      </c>
      <c r="C77" s="95">
        <f>Data!C10-Data!C12</f>
        <v>961086</v>
      </c>
      <c r="D77" s="131">
        <f>C77/$C$74</f>
        <v>0.44873026767330132</v>
      </c>
      <c r="E77" s="148">
        <f>D77*E74</f>
        <v>961086</v>
      </c>
      <c r="F77" s="149">
        <f>E77/$E$74</f>
        <v>0.44873026767330132</v>
      </c>
    </row>
    <row r="78" spans="1:9" ht="15" customHeight="1" x14ac:dyDescent="0.15">
      <c r="B78" s="35" t="s">
        <v>97</v>
      </c>
      <c r="C78" s="118">
        <f>C76-C77</f>
        <v>205656</v>
      </c>
      <c r="D78" s="132"/>
      <c r="E78" s="150">
        <f>E76-E77</f>
        <v>205656</v>
      </c>
      <c r="F78" s="132"/>
    </row>
    <row r="79" spans="1:9" ht="15" customHeight="1" x14ac:dyDescent="0.15">
      <c r="B79" s="117" t="s">
        <v>129</v>
      </c>
      <c r="C79" s="95">
        <f>Data!C17</f>
        <v>258378</v>
      </c>
      <c r="D79" s="131">
        <f>C79/$C$74</f>
        <v>0.12063647696552883</v>
      </c>
      <c r="E79" s="148">
        <f>C79</f>
        <v>258378</v>
      </c>
      <c r="F79" s="149">
        <f>E79/$E$74</f>
        <v>0.12063647696552883</v>
      </c>
    </row>
    <row r="80" spans="1:9" ht="15" customHeight="1" x14ac:dyDescent="0.15">
      <c r="B80" s="28" t="s">
        <v>135</v>
      </c>
      <c r="C80" s="95">
        <f>Data!C14+MAX(Data!C15,0)</f>
        <v>0</v>
      </c>
      <c r="D80" s="131">
        <f>C80/$C$74</f>
        <v>0</v>
      </c>
      <c r="E80" s="148">
        <f>3%*E74</f>
        <v>64253.7</v>
      </c>
      <c r="F80" s="149">
        <f t="shared" ref="F80:F83" si="8">E80/$E$74</f>
        <v>0.03</v>
      </c>
    </row>
    <row r="81" spans="1:8" ht="15" customHeight="1" x14ac:dyDescent="0.15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15">
      <c r="B82" s="79" t="s">
        <v>190</v>
      </c>
      <c r="C82" s="95">
        <f>MAX(Data!C18,0)</f>
        <v>17537</v>
      </c>
      <c r="D82" s="131">
        <f>C82/$C$74</f>
        <v>8.1880109627928046E-3</v>
      </c>
      <c r="E82" s="148">
        <v>0</v>
      </c>
      <c r="F82" s="149">
        <f t="shared" si="8"/>
        <v>0</v>
      </c>
    </row>
    <row r="83" spans="1:8" ht="15" customHeight="1" thickBot="1" x14ac:dyDescent="0.2">
      <c r="B83" s="119" t="s">
        <v>134</v>
      </c>
      <c r="C83" s="100">
        <f>C78-C79-C80-C81-C82</f>
        <v>-70259</v>
      </c>
      <c r="D83" s="133">
        <f>C83/$C$74</f>
        <v>-3.2803869660424222E-2</v>
      </c>
      <c r="E83" s="151">
        <f>E78-E79-E80-E81-E82</f>
        <v>-116975.7</v>
      </c>
      <c r="F83" s="135">
        <f t="shared" si="8"/>
        <v>-5.4615858697631421E-2</v>
      </c>
    </row>
    <row r="84" spans="1:8" ht="15" customHeight="1" thickTop="1" x14ac:dyDescent="0.15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15">
      <c r="B85" s="93" t="s">
        <v>179</v>
      </c>
      <c r="C85" s="118">
        <f>C83*(1-F84)</f>
        <v>-52694.25</v>
      </c>
      <c r="D85" s="135">
        <f>C85/$C$74</f>
        <v>-2.4602902245318168E-2</v>
      </c>
      <c r="E85" s="153">
        <f>E83*(1-F84)</f>
        <v>-87731.774999999994</v>
      </c>
      <c r="F85" s="135">
        <f>E85/$E$74</f>
        <v>-4.0961894023223561E-2</v>
      </c>
    </row>
    <row r="86" spans="1:8" ht="15" customHeight="1" x14ac:dyDescent="0.15">
      <c r="B86" s="94" t="s">
        <v>174</v>
      </c>
      <c r="C86" s="159">
        <f>C85*Data!E3/Common_Shares</f>
        <v>-1.4696383145286268E-2</v>
      </c>
      <c r="D86" s="130"/>
      <c r="E86" s="161">
        <f>E85*Data!E3/Common_Shares</f>
        <v>-2.4468320156678332E-2</v>
      </c>
      <c r="F86" s="130"/>
    </row>
    <row r="87" spans="1:8" ht="15" customHeight="1" x14ac:dyDescent="0.15">
      <c r="B87" s="93" t="s">
        <v>175</v>
      </c>
      <c r="C87" s="162">
        <f>(0.05+0.15)/7.8</f>
        <v>2.5641025641025644E-2</v>
      </c>
      <c r="D87" s="135">
        <f>C87/C86</f>
        <v>-1.7447167365971792</v>
      </c>
      <c r="E87" s="160">
        <f>C87</f>
        <v>2.5641025641025644E-2</v>
      </c>
      <c r="F87" s="135">
        <f>E87/E86</f>
        <v>-1.0479275028623996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168</v>
      </c>
      <c r="C89" s="21"/>
      <c r="H89" s="50" t="s">
        <v>145</v>
      </c>
    </row>
    <row r="90" spans="1:8" ht="15" customHeight="1" x14ac:dyDescent="0.15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15">
      <c r="B91" s="1" t="s">
        <v>192</v>
      </c>
      <c r="C91" s="64" t="s">
        <v>211</v>
      </c>
      <c r="D91" s="211" t="s">
        <v>220</v>
      </c>
      <c r="E91" s="211"/>
      <c r="F91" s="29">
        <f>E86*Exchange_Rate/Dashboard!G3</f>
        <v>-3.4827755607560087E-2</v>
      </c>
      <c r="H91" s="195"/>
    </row>
    <row r="92" spans="1:8" ht="15" customHeight="1" x14ac:dyDescent="0.15">
      <c r="B92" s="1" t="str">
        <f>IF(C91="CN",Dashboard!B17,Dashboard!B12)</f>
        <v>Required Return (US)</v>
      </c>
      <c r="C92" s="173">
        <f>IF(C91="CN",Dashboard!C17,IF(C91="US",Dashboard!C12,IF(C91="HK",Dashboard!D12,Dashboard!D17)))</f>
        <v>8.4000000000000005E-2</v>
      </c>
      <c r="D92" s="194">
        <v>5</v>
      </c>
      <c r="E92" s="94" t="s">
        <v>221</v>
      </c>
      <c r="F92" s="193">
        <f>FV(F91,D92,0,-(E86/C92))</f>
        <v>-0.24397705799959887</v>
      </c>
      <c r="H92" s="195"/>
    </row>
    <row r="93" spans="1:8" ht="15" customHeight="1" x14ac:dyDescent="0.15">
      <c r="H93" s="24"/>
    </row>
    <row r="94" spans="1:8" ht="15" customHeight="1" x14ac:dyDescent="0.15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223</v>
      </c>
      <c r="E94" s="155" t="s">
        <v>224</v>
      </c>
      <c r="H94" s="24"/>
    </row>
    <row r="95" spans="1:8" ht="15" customHeight="1" x14ac:dyDescent="0.15">
      <c r="B95" s="1" t="s">
        <v>140</v>
      </c>
      <c r="C95" s="102">
        <f>D95*Common_Shares/Data!E3</f>
        <v>-4542232.0819000732</v>
      </c>
      <c r="D95" s="154">
        <f>PV(C92,D92,0,-F92)*Exchange_Rate</f>
        <v>-1.2668248055606597</v>
      </c>
      <c r="E95" s="154">
        <f>PV(15%,D92,0,-F92)*Exchange_Rate</f>
        <v>-0.94270056614650266</v>
      </c>
      <c r="H95" s="24"/>
    </row>
    <row r="96" spans="1:8" ht="15" customHeight="1" x14ac:dyDescent="0.15">
      <c r="B96" s="28" t="s">
        <v>157</v>
      </c>
      <c r="C96" s="102">
        <f>E53*Exchange_Rate</f>
        <v>0</v>
      </c>
      <c r="D96" s="154">
        <f>C96*Data!$E$3/Common_Shares</f>
        <v>0</v>
      </c>
      <c r="E96" s="130"/>
      <c r="F96" s="137"/>
      <c r="H96" s="24"/>
    </row>
    <row r="97" spans="2:8" ht="15" customHeight="1" thickBot="1" x14ac:dyDescent="0.2">
      <c r="B97" s="119" t="s">
        <v>158</v>
      </c>
      <c r="C97" s="123">
        <f>(E65+MIN(0,E70))*Exchange_Rate</f>
        <v>9436720.4595059734</v>
      </c>
      <c r="D97" s="197">
        <f>C97*Data!$E$3/Common_Shares</f>
        <v>2.6318936033411933</v>
      </c>
      <c r="E97" s="198"/>
      <c r="F97" s="156" t="s">
        <v>144</v>
      </c>
      <c r="H97" s="24"/>
    </row>
    <row r="98" spans="2:8" ht="15" customHeight="1" thickTop="1" x14ac:dyDescent="0.15">
      <c r="B98" s="1" t="s">
        <v>119</v>
      </c>
      <c r="C98" s="102">
        <f>C95-C96+$C$97</f>
        <v>4894488.3776059002</v>
      </c>
      <c r="D98" s="124">
        <f>MAX(C98*Data!$E$3/Common_Shares,0)</f>
        <v>1.3650687977805334</v>
      </c>
      <c r="E98" s="124">
        <f>E95*Exchange_Rate-D96+D97</f>
        <v>-4.69445783460535</v>
      </c>
      <c r="F98" s="124">
        <f>D98*1.25</f>
        <v>1.7063359972256666</v>
      </c>
      <c r="H98" s="24"/>
    </row>
    <row r="99" spans="2:8" ht="15" customHeight="1" x14ac:dyDescent="0.15">
      <c r="H99" s="24"/>
    </row>
    <row r="100" spans="2:8" ht="15" customHeight="1" x14ac:dyDescent="0.15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15">
      <c r="B101" s="1" t="s">
        <v>176</v>
      </c>
      <c r="C101" s="102">
        <f>D101*Common_Shares/Data!E3</f>
        <v>11164059.960184595</v>
      </c>
      <c r="D101" s="154">
        <f>E87/(C92-2%)*Exchange_Rate</f>
        <v>3.1136471746314287</v>
      </c>
      <c r="E101" s="124">
        <f>D101*(1-25%)</f>
        <v>2.3352353809735718</v>
      </c>
      <c r="F101" s="124">
        <f>D101*1.25</f>
        <v>3.8920589682892857</v>
      </c>
      <c r="H101" s="24" t="s">
        <v>222</v>
      </c>
    </row>
    <row r="102" spans="2:8" ht="15" customHeight="1" x14ac:dyDescent="0.15">
      <c r="H102" s="24"/>
    </row>
    <row r="103" spans="2:8" ht="15" customHeight="1" x14ac:dyDescent="0.15">
      <c r="B103" s="10" t="s">
        <v>225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15">
      <c r="B104" s="1" t="s">
        <v>226</v>
      </c>
      <c r="C104" s="102">
        <f>D104*Common_Shares/Data!E3</f>
        <v>8029274.1688952465</v>
      </c>
      <c r="D104" s="154">
        <f>(D98+D101)/2</f>
        <v>2.2393579862059809</v>
      </c>
      <c r="E104" s="124">
        <f>D104*(1-25%)</f>
        <v>1.6795184896544857</v>
      </c>
      <c r="F104" s="124">
        <f>D104*1.25</f>
        <v>2.7991974827574762</v>
      </c>
    </row>
    <row r="106" spans="2:8" ht="15" customHeight="1" x14ac:dyDescent="0.15">
      <c r="B106" s="10" t="s">
        <v>180</v>
      </c>
      <c r="C106" s="164" t="s">
        <v>210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2024-11-07T14:57:17Z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