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4427B7C9-3587-4AF0-96EE-DE9E2FF8E30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105" i="3" l="1"/>
  <c r="F105" i="3"/>
  <c r="F4" i="4"/>
  <c r="F36" i="3"/>
  <c r="F37" i="3"/>
  <c r="F35" i="3"/>
  <c r="F20" i="3"/>
  <c r="F19" i="3"/>
  <c r="F5" i="4"/>
  <c r="F6" i="4" l="1"/>
  <c r="D42" i="4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C29" i="1" s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E28" i="3"/>
  <c r="I25" i="3" s="1"/>
  <c r="D61" i="3"/>
  <c r="I27" i="3"/>
  <c r="J27" i="3" s="1"/>
  <c r="I47" i="3"/>
  <c r="J47" i="3" s="1"/>
  <c r="I46" i="3"/>
  <c r="J46" i="3" s="1"/>
  <c r="D62" i="3"/>
  <c r="D24" i="3"/>
  <c r="J26" i="3" l="1"/>
  <c r="C34" i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F29" i="1" l="1"/>
</calcChain>
</file>

<file path=xl/sharedStrings.xml><?xml version="1.0" encoding="utf-8"?>
<sst xmlns="http://schemas.openxmlformats.org/spreadsheetml/2006/main" count="366" uniqueCount="263">
  <si>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</si>
  <si>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</si>
  <si>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</si>
  <si>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</si>
  <si>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</si>
  <si>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</si>
  <si>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</si>
  <si>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</si>
  <si>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</si>
  <si>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</si>
  <si>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</si>
  <si>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</si>
  <si>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</si>
  <si>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</si>
  <si>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</si>
  <si>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</si>
  <si>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</si>
  <si>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</si>
  <si>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</si>
  <si>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</si>
  <si>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</si>
  <si>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</si>
  <si>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</si>
  <si>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</si>
  <si>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</si>
  <si>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</si>
  <si>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</si>
  <si>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</si>
  <si>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</si>
  <si>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</si>
  <si>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</si>
  <si>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</si>
  <si>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</si>
  <si>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</si>
  <si>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</si>
  <si>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</si>
  <si>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</si>
  <si>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</si>
  <si>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</si>
  <si>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</si>
  <si>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</si>
  <si>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</si>
  <si>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</si>
  <si>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</si>
  <si>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</si>
  <si>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</si>
  <si>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</si>
  <si>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</si>
  <si>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</si>
  <si>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</si>
  <si>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</si>
  <si>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</si>
  <si>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</si>
  <si>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</si>
  <si>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</si>
  <si>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</si>
  <si>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</si>
  <si>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</si>
  <si>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</si>
  <si>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</si>
  <si>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</si>
  <si>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</si>
  <si>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</si>
  <si>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</si>
  <si>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</si>
  <si>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</si>
  <si>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</si>
  <si>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</si>
  <si>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</si>
  <si>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</si>
  <si>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</si>
  <si>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</si>
  <si>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</si>
  <si>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</si>
  <si>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</si>
  <si>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</si>
  <si>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</si>
  <si>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</si>
  <si>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</si>
  <si>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</si>
  <si>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</si>
  <si>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</si>
  <si>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</si>
  <si>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</si>
  <si>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</si>
  <si>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</si>
  <si>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</si>
  <si>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</si>
  <si>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</si>
  <si>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</si>
  <si>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</si>
  <si>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</si>
  <si>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</si>
  <si>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</si>
  <si>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</si>
  <si>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</si>
  <si>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</si>
  <si>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</si>
  <si>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</si>
  <si>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</si>
  <si>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</si>
  <si>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</si>
  <si>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</si>
  <si>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</si>
  <si>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</si>
  <si>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</si>
  <si>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</si>
  <si>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</si>
  <si>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</si>
  <si>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</si>
  <si>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</si>
  <si>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</si>
  <si>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</si>
  <si>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</si>
  <si>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</si>
  <si>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</si>
  <si>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</si>
  <si>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</si>
  <si>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</si>
  <si>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</si>
  <si>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</si>
  <si>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</si>
  <si>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</si>
  <si>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</si>
  <si>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</si>
  <si>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</si>
  <si>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</si>
  <si>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</si>
  <si>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</si>
  <si>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</si>
  <si>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</si>
  <si>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</si>
  <si>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</si>
  <si>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</si>
  <si>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</si>
  <si>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</si>
  <si>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</si>
  <si>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</si>
  <si>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</si>
  <si>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</si>
  <si>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</si>
  <si>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</si>
  <si>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</si>
  <si>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</si>
  <si>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</si>
  <si>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</si>
  <si>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</si>
  <si>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</si>
  <si>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</si>
  <si>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</si>
  <si>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</si>
  <si>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</si>
  <si>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</si>
  <si>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</si>
  <si>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</si>
  <si>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</si>
  <si>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</si>
  <si>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</si>
  <si>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</si>
  <si>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</si>
  <si>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</si>
  <si>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</si>
  <si>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</si>
  <si>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</si>
  <si>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</si>
  <si>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</si>
  <si>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</si>
  <si>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</si>
  <si>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</si>
  <si>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</si>
  <si>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</si>
  <si>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</si>
  <si>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</si>
  <si>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</si>
  <si>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</si>
  <si>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</si>
  <si>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</si>
  <si>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</si>
  <si>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</si>
  <si>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</si>
  <si>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</si>
  <si>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</si>
  <si>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</si>
  <si>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</si>
  <si>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</si>
  <si>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</si>
  <si>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</si>
  <si>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</si>
  <si>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</si>
  <si>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</si>
  <si>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</si>
  <si>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</si>
  <si>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</si>
  <si>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</si>
  <si>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</si>
  <si>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</si>
  <si>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</si>
  <si>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</si>
  <si>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</si>
  <si>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</si>
  <si>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</si>
  <si>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</si>
  <si>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</si>
  <si>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</si>
  <si>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</si>
  <si>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</si>
  <si>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</si>
  <si>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</si>
  <si>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</si>
  <si>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</si>
  <si>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</si>
  <si>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</si>
  <si>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</si>
  <si>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</si>
  <si>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</si>
  <si>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</si>
  <si>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</si>
  <si>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</si>
  <si>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</si>
  <si>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</si>
  <si>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</si>
  <si>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</si>
  <si>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</si>
  <si>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</si>
  <si>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</si>
  <si>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</si>
  <si>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</si>
  <si>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</si>
  <si>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</si>
  <si>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</si>
  <si>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</si>
  <si>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</si>
  <si>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</si>
  <si>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</si>
  <si>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</si>
  <si>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</si>
  <si>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</si>
  <si>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</si>
  <si>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</si>
  <si>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</si>
  <si>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</si>
  <si>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</si>
  <si>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6601.HK</t>
    <phoneticPr fontId="20" type="noConversion"/>
  </si>
  <si>
    <t>C0007</t>
    <phoneticPr fontId="20" type="noConversion"/>
  </si>
  <si>
    <t>CNY</t>
  </si>
  <si>
    <t>CN</t>
  </si>
  <si>
    <t>Dividend</t>
  </si>
  <si>
    <t>Template</t>
    <phoneticPr fontId="20" type="noConversion"/>
  </si>
  <si>
    <t>D/P Dividend Yield</t>
    <phoneticPr fontId="20" type="noConversion"/>
  </si>
  <si>
    <t>Earnings Power Checklist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</si>
  <si>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</si>
  <si>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</si>
  <si>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Present</t>
    <phoneticPr fontId="20" type="noConversion"/>
  </si>
  <si>
    <t>Past</t>
    <phoneticPr fontId="20" type="noConversion"/>
  </si>
  <si>
    <t>4. Stable margin?</t>
    <phoneticPr fontId="20" type="noConversion"/>
  </si>
  <si>
    <t>Future</t>
    <phoneticPr fontId="20" type="noConversion"/>
  </si>
  <si>
    <t>6. No big reinvestment required?</t>
    <phoneticPr fontId="20" type="noConversion"/>
  </si>
  <si>
    <t>5. Can earnings be sustained?</t>
    <phoneticPr fontId="20" type="noConversion"/>
  </si>
  <si>
    <t>unclear</t>
  </si>
  <si>
    <t>Consumer Monopoly Test</t>
    <phoneticPr fontId="20" type="noConversion"/>
  </si>
  <si>
    <t>3. Upward earnings and ROE trend?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</si>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</sst>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27" fillId="0" borderId="0" xfId="0" applyFont="1" applyAlignment="1">
      <alignment wrapText="1"/>
    </xf>
    <xf numFmtId="0" fontId="6" fillId="0" borderId="18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 vertical="center" wrapText="1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30.59765625" style="1" customWidth="1"/>
    <col min="3" max="4" width="14.796875" style="1" customWidth="1"/>
    <col min="5" max="5" width="5.796875" style="1" customWidth="1"/>
    <col min="6" max="6" width="30.597656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9" t="str">
        <f>Inputs!C4</f>
        <v>6601.HK</v>
      </c>
      <c r="D3" s="250"/>
      <c r="E3" s="87"/>
      <c r="F3" s="3" t="s">
        <v>1</v>
      </c>
      <c r="G3" s="133">
        <v>1.9700000286102299</v>
      </c>
      <c r="H3" s="135" t="s">
        <v>2</v>
      </c>
    </row>
    <row r="4" spans="1:10" ht="15.75" customHeight="1" x14ac:dyDescent="0.4">
      <c r="B4" s="35" t="s">
        <v>212</v>
      </c>
      <c r="C4" s="251" t="str">
        <f>Inputs!C5</f>
        <v>Template</v>
      </c>
      <c r="D4" s="252"/>
      <c r="E4" s="87"/>
      <c r="F4" s="3" t="s">
        <v>3</v>
      </c>
      <c r="G4" s="255">
        <f>Inputs!C10</f>
        <v>1333333500</v>
      </c>
      <c r="H4" s="255"/>
      <c r="I4" s="39"/>
    </row>
    <row r="5" spans="1:10" ht="15.75" customHeight="1" x14ac:dyDescent="0.4">
      <c r="B5" s="3" t="s">
        <v>175</v>
      </c>
      <c r="C5" s="253">
        <f>Inputs!C6</f>
        <v>45593</v>
      </c>
      <c r="D5" s="254"/>
      <c r="E5" s="34"/>
      <c r="F5" s="35" t="s">
        <v>102</v>
      </c>
      <c r="G5" s="247">
        <f>G3*G4/1000000</f>
        <v>2626.6670331469777</v>
      </c>
      <c r="H5" s="247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8" t="str">
        <f>Inputs!C11</f>
        <v>CNY</v>
      </c>
      <c r="H6" s="248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 t="e">
        <f>Fin_Analysis!I75</f>
        <v>#VALUE!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 t="e">
        <f>Fin_Analysis!I77</f>
        <v>#VALUE!</v>
      </c>
      <c r="F21" s="87"/>
      <c r="G21" s="29"/>
    </row>
    <row r="22" spans="1:8" ht="15.75" customHeight="1" x14ac:dyDescent="0.4">
      <c r="B22" s="138" t="s">
        <v>183</v>
      </c>
      <c r="C22" s="177" t="e">
        <f>Fin_Analysis!I79</f>
        <v>#VALUE!</v>
      </c>
      <c r="F22" s="143" t="s">
        <v>200</v>
      </c>
    </row>
    <row r="23" spans="1:8" ht="15.75" customHeight="1" x14ac:dyDescent="0.4">
      <c r="B23" s="138" t="s">
        <v>184</v>
      </c>
      <c r="C23" s="177" t="e">
        <f>Fin_Analysis!I80</f>
        <v>#VALUE!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 t="e">
        <f>Fin_Analysis!I81</f>
        <v>#VALUE!</v>
      </c>
      <c r="F24" s="141" t="s">
        <v>189</v>
      </c>
      <c r="G24" s="184" t="e">
        <f>(Fin_Analysis!H86*G7)/G3</f>
        <v>#VALUE!</v>
      </c>
    </row>
    <row r="25" spans="1:8" ht="15.75" customHeight="1" x14ac:dyDescent="0.4">
      <c r="B25" s="138" t="s">
        <v>208</v>
      </c>
      <c r="C25" s="177" t="e">
        <f>Fin_Analysis!I82</f>
        <v>#VALUE!</v>
      </c>
      <c r="F25" s="141" t="s">
        <v>188</v>
      </c>
      <c r="G25" s="177" t="e">
        <f>Fin_Analysis!I88</f>
        <v>#VALUE!</v>
      </c>
    </row>
    <row r="26" spans="1:8" ht="15.75" customHeight="1" x14ac:dyDescent="0.4">
      <c r="B26" s="139" t="s">
        <v>187</v>
      </c>
      <c r="C26" s="177" t="e">
        <f>Fin_Analysis!I83</f>
        <v>#VALUE!</v>
      </c>
      <c r="F26" s="142" t="s">
        <v>210</v>
      </c>
      <c r="G26" s="184">
        <f>Fin_Analysis!H88*Exchange_Rate/G3</f>
        <v>6.458070972199545E-2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5" t="str">
        <f>Fin_Analysis!H96</f>
        <v>Base Case</v>
      </c>
      <c r="H28" s="245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1.0811422001955733</v>
      </c>
      <c r="D29" s="130">
        <f>IF(Fin_Analysis!C108="Profit",Fin_Analysis!I100,IF(Fin_Analysis!C108="Dividend",Fin_Analysis!I103,Fin_Analysis!I106))</f>
        <v>1.849963913274594</v>
      </c>
      <c r="E29" s="87"/>
      <c r="F29" s="132">
        <f>IF(Fin_Analysis!C108="Profit",Fin_Analysis!F100,IF(Fin_Analysis!C108="Dividend",Fin_Analysis!F103,Fin_Analysis!F106))</f>
        <v>1.4799711306196752</v>
      </c>
      <c r="G29" s="246">
        <f>IF(Fin_Analysis!C108="Profit",Fin_Analysis!H100,IF(Fin_Analysis!C108="Dividend",Fin_Analysis!H103,Fin_Analysis!H106))</f>
        <v>1.4799711306196752</v>
      </c>
      <c r="H29" s="246"/>
    </row>
    <row r="30" spans="1:8" ht="15.75" customHeight="1" x14ac:dyDescent="0.4"/>
    <row r="31" spans="1:8" ht="15.75" customHeight="1" x14ac:dyDescent="0.4">
      <c r="A31" s="5"/>
      <c r="B31" s="6" t="s">
        <v>249</v>
      </c>
      <c r="C31"/>
    </row>
    <row r="32" spans="1:8" ht="15.75" customHeight="1" x14ac:dyDescent="0.4">
      <c r="A32"/>
      <c r="B32" s="203" t="s">
        <v>252</v>
      </c>
      <c r="C32" s="241"/>
    </row>
    <row r="33" spans="1:3" ht="15.75" customHeight="1" x14ac:dyDescent="0.4">
      <c r="A33"/>
      <c r="B33" s="20" t="s">
        <v>250</v>
      </c>
      <c r="C33" s="242" t="s">
        <v>258</v>
      </c>
    </row>
    <row r="34" spans="1:3" ht="15.75" customHeight="1" x14ac:dyDescent="0.4">
      <c r="A34"/>
      <c r="B34" s="19" t="s">
        <v>251</v>
      </c>
      <c r="C34" s="244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203" t="s">
        <v>253</v>
      </c>
      <c r="C35" s="241"/>
    </row>
    <row r="36" spans="1:3" ht="15.75" customHeight="1" x14ac:dyDescent="0.4">
      <c r="A36"/>
      <c r="B36" s="20" t="s">
        <v>260</v>
      </c>
      <c r="C36" s="242" t="s">
        <v>258</v>
      </c>
    </row>
    <row r="37" spans="1:3" ht="15.75" customHeight="1" x14ac:dyDescent="0.4">
      <c r="A37"/>
      <c r="B37" s="20" t="s">
        <v>254</v>
      </c>
      <c r="C37" s="242" t="s">
        <v>258</v>
      </c>
    </row>
    <row r="38" spans="1:3" ht="15.75" customHeight="1" x14ac:dyDescent="0.4">
      <c r="A38"/>
      <c r="B38" s="203" t="s">
        <v>255</v>
      </c>
      <c r="C38" s="241"/>
    </row>
    <row r="39" spans="1:3" ht="15.75" customHeight="1" x14ac:dyDescent="0.4">
      <c r="A39"/>
      <c r="B39" s="19" t="s">
        <v>257</v>
      </c>
      <c r="C39" s="242" t="s">
        <v>258</v>
      </c>
    </row>
    <row r="40" spans="1:3" ht="15.75" customHeight="1" x14ac:dyDescent="0.4">
      <c r="A40"/>
      <c r="B40" s="1" t="s">
        <v>256</v>
      </c>
      <c r="C40" s="242" t="s">
        <v>258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259</v>
      </c>
      <c r="C42"/>
    </row>
    <row r="43" spans="1:3" ht="65.650000000000006" x14ac:dyDescent="0.4">
      <c r="A43"/>
      <c r="B43" s="243" t="s">
        <v>261</v>
      </c>
      <c r="C43" s="261" t="s">
        <v>262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43" xr:uid="{8E7F0EEC-5966-407A-A978-6766E98E9396}">
      <formula1>"Consumer Monopoly,Unclear,Commodity-type Business"</formula1>
    </dataValidation>
    <dataValidation type="list" allowBlank="1" sqref="C33:C34 C36:C37 C39:C40" xr:uid="{E4C044E3-A391-4734-A934-7EE005977157}">
      <formula1>"Strongly agree,agree,unclear,disagree,Strongly disagree"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78"/>
  <sheetViews>
    <sheetView showGridLines="0" tabSelected="1" zoomScaleNormal="100" workbookViewId="0">
      <selection activeCell="C9" sqref="C9"/>
    </sheetView>
  </sheetViews>
  <sheetFormatPr defaultRowHeight="12.75" x14ac:dyDescent="0.35"/>
  <cols>
    <col min="1" max="1" width="3.06640625" customWidth="1"/>
    <col min="2" max="2" width="30.33203125" bestFit="1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242</v>
      </c>
      <c r="E4" s="240" t="s">
        <v>226</v>
      </c>
      <c r="F4" s="12" t="str">
        <f>C11</f>
        <v>CNY</v>
      </c>
    </row>
    <row r="5" spans="1:6" ht="13.9" x14ac:dyDescent="0.4">
      <c r="B5" s="142" t="s">
        <v>212</v>
      </c>
      <c r="C5" s="198" t="s">
        <v>247</v>
      </c>
      <c r="E5" s="231">
        <f>C18</f>
        <v>45291</v>
      </c>
      <c r="F5" s="232">
        <f>0.0538+0.064</f>
        <v>0.1178</v>
      </c>
    </row>
    <row r="6" spans="1:6" ht="13.9" x14ac:dyDescent="0.4">
      <c r="B6" s="142" t="s">
        <v>175</v>
      </c>
      <c r="C6" s="196">
        <v>45593</v>
      </c>
      <c r="E6" s="233" t="s">
        <v>224</v>
      </c>
      <c r="F6" s="232">
        <f>F5</f>
        <v>0.1178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243</v>
      </c>
    </row>
    <row r="10" spans="1:6" ht="13.9" x14ac:dyDescent="0.4">
      <c r="B10" s="141" t="s">
        <v>237</v>
      </c>
      <c r="C10" s="200">
        <v>1333333500</v>
      </c>
    </row>
    <row r="11" spans="1:6" ht="13.9" x14ac:dyDescent="0.4">
      <c r="B11" s="141" t="s">
        <v>238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 t="str">
        <f>IF(Inputs!C19=""," ",Inputs!C19)</f>
        <v xml:space="preserve"> </v>
      </c>
      <c r="D6" s="209" t="str">
        <f>IF(Inputs!D19="","",Inputs!D19)</f>
        <v/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 t="str">
        <f>IF(Inputs!C20="","",Inputs!C20)</f>
        <v/>
      </c>
      <c r="D8" s="208" t="str">
        <f>IF(Inputs!D20="","",Inputs!D20)</f>
        <v/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 t="e">
        <f t="shared" ref="C9:M9" si="2">IF(C6="","",(C6-C8))</f>
        <v>#VALUE!</v>
      </c>
      <c r="D9" s="154" t="str">
        <f t="shared" si="2"/>
        <v/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 t="str">
        <f>IF(Inputs!C21="","",Inputs!C21)</f>
        <v/>
      </c>
      <c r="D10" s="208" t="str">
        <f>IF(Inputs!D21="","",Inputs!D21)</f>
        <v/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 t="e">
        <f>IF(C6="","",(C9-C10+MAX(C12,0)))</f>
        <v>#VALUE!</v>
      </c>
      <c r="D13" s="154" t="str">
        <f t="shared" ref="D13:M13" si="4">IF(D6="","",(D9-D10+MAX(D12,0)))</f>
        <v/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 t="e">
        <f>IF(C6="","",C9-C10-MAX(C17,0)-MAX(C18,0)/(1-Fin_Analysis!$I$84))</f>
        <v>#VALUE!</v>
      </c>
      <c r="D19" s="237" t="str">
        <f>IF(D6="","",D9-D10-MAX(D17,0)-MAX(D18,0)/(1-Fin_Analysis!$I$84))</f>
        <v/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 t="str">
        <f>IF(D19="","",IF(ABS(C19+D19)=ABS(C19)+ABS(D19),IF(C19&lt;0,-1,1)*(C19-D19)/D19,"Turn"))</f>
        <v/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IF(C6="","",C13-MAX(C14,0)-MAX(C15,0)-MAX(C16,0)-MAX(C17,0)-MAX(C18,0)/(1-Fin_Analysis!$I$84))</f>
        <v>#VALUE!</v>
      </c>
      <c r="D21" s="77" t="str">
        <f>IF(D6="","",D13-MAX(D14,0)-MAX(D15,0)-MAX(D16,0)-MAX(D17,0)-MAX(D18,0)/(1-Fin_Analysis!$I$84))</f>
        <v/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 t="str">
        <f>IF(D21="","",IF(ABS(C21+D21)=ABS(C21)+ABS(D21),IF(C21&lt;0,-1,1)*(C21-D21)/D21,"Turn"))</f>
        <v/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str">
        <f t="shared" si="7"/>
        <v/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str">
        <f>IF(D6="","",D21*(1-Fin_Analysis!$I$84))</f>
        <v/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str">
        <f>IF(D24="","",IF(ABS(C24+D24)=ABS(C24)+ABS(D24),IF(C24&lt;0,-1,1)*(C24-D24)/D24,"Turn"))</f>
        <v/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 t="e">
        <f t="shared" ref="C42:M42" si="33">IF(C6="","",C8/C6)</f>
        <v>#VALUE!</v>
      </c>
      <c r="D42" s="161" t="str">
        <f t="shared" si="33"/>
        <v/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 t="e">
        <f>IF(C6="","",(C10-MAX(C12,0))/C6)</f>
        <v>#VALUE!</v>
      </c>
      <c r="D43" s="157" t="str">
        <f t="shared" ref="D43:M43" si="34">IF(D6="","",(D10-MAX(D12,0))/D6)</f>
        <v/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 t="e">
        <f>IF(C6="","",(MAX(C14,0)+MAX(C15,0))/C6)</f>
        <v>#VALUE!</v>
      </c>
      <c r="D44" s="157" t="str">
        <f t="shared" ref="D44:M44" si="35">IF(D6="","",(MAX(D14,0)+MAX(D15,0))/D6)</f>
        <v/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 t="e">
        <f t="shared" ref="C45:M45" si="36">IF(C6="","",MAX(C16,0)/C6)</f>
        <v>#VALUE!</v>
      </c>
      <c r="D45" s="157" t="str">
        <f t="shared" si="36"/>
        <v/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>IF(C6="","",MAX(C17,0)/C6)</f>
        <v>#VALUE!</v>
      </c>
      <c r="D46" s="157" t="str">
        <f t="shared" ref="D46:M46" si="37">IF(D6="","",MAX(D17,0)/D6)</f>
        <v/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 t="e">
        <f>IF(C6="","",MAX(C18,0)/(1-Fin_Analysis!$I$84)/C6)</f>
        <v>#VALUE!</v>
      </c>
      <c r="D47" s="157" t="str">
        <f>IF(D6="","",MAX(D18,0)/(1-Fin_Analysis!$I$84)/D6)</f>
        <v/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str">
        <f t="shared" si="38"/>
        <v/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 t="e">
        <f>IF(C29="","",C29/C6)</f>
        <v>#VALUE!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 t="e">
        <f>IF(C30="","",C30/C6)</f>
        <v>#VALUE!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>IF(C21="","",IF(MAX(C17,0)&lt;=0,"-",C17/C21))</f>
        <v>#VALUE!</v>
      </c>
      <c r="D55" s="157" t="str">
        <f t="shared" ref="D55:M55" si="43">IF(D21="","",IF(MAX(D17,0)&lt;=0,"-",D17/D21))</f>
        <v/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9" zoomScaleNormal="100" workbookViewId="0">
      <selection activeCell="H106" sqref="H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6">
        <f>I15+I34</f>
        <v>0</v>
      </c>
      <c r="E56" s="254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5">
        <f>Inputs!C77</f>
        <v>0</v>
      </c>
      <c r="E57" s="254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5">
        <f>Inputs!C78</f>
        <v>0</v>
      </c>
      <c r="E58" s="25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9">
        <f>Data!C5</f>
        <v>45291</v>
      </c>
      <c r="D72" s="259"/>
      <c r="E72" s="257" t="s">
        <v>225</v>
      </c>
      <c r="F72" s="257"/>
      <c r="H72" s="257" t="s">
        <v>224</v>
      </c>
      <c r="I72" s="257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8" t="s">
        <v>103</v>
      </c>
      <c r="D73" s="258"/>
      <c r="E73" s="260" t="s">
        <v>104</v>
      </c>
      <c r="F73" s="258"/>
      <c r="H73" s="260" t="s">
        <v>104</v>
      </c>
      <c r="I73" s="258"/>
      <c r="K73" s="24"/>
    </row>
    <row r="74" spans="1:11" ht="15" customHeight="1" x14ac:dyDescent="0.4">
      <c r="B74" s="3" t="s">
        <v>136</v>
      </c>
      <c r="C74" s="77" t="str">
        <f>Data!C6</f>
        <v xml:space="preserve"> </v>
      </c>
      <c r="D74" s="218"/>
      <c r="E74" s="205" t="str">
        <f>H74</f>
        <v xml:space="preserve"> </v>
      </c>
      <c r="F74" s="218"/>
      <c r="H74" s="205" t="str">
        <f>C74</f>
        <v xml:space="preserve"> </v>
      </c>
      <c r="I74" s="218"/>
      <c r="K74" s="24"/>
    </row>
    <row r="75" spans="1:11" ht="15" customHeight="1" x14ac:dyDescent="0.4">
      <c r="B75" s="105" t="s">
        <v>109</v>
      </c>
      <c r="C75" s="77" t="str">
        <f>Data!C8</f>
        <v/>
      </c>
      <c r="D75" s="164" t="e">
        <f>C75/$C$74</f>
        <v>#VALUE!</v>
      </c>
      <c r="E75" s="186" t="e">
        <f>E74*F75</f>
        <v>#VALUE!</v>
      </c>
      <c r="F75" s="165" t="e">
        <f>I75</f>
        <v>#VALUE!</v>
      </c>
      <c r="H75" s="205" t="e">
        <f>D75*H74</f>
        <v>#VALUE!</v>
      </c>
      <c r="I75" s="165" t="e">
        <f>H75/$H$74</f>
        <v>#VALUE!</v>
      </c>
      <c r="K75" s="24"/>
    </row>
    <row r="76" spans="1:11" ht="15" customHeight="1" x14ac:dyDescent="0.4">
      <c r="B76" s="35" t="s">
        <v>96</v>
      </c>
      <c r="C76" s="166" t="e">
        <f>C74-C75</f>
        <v>#VALUE!</v>
      </c>
      <c r="D76" s="219"/>
      <c r="E76" s="167" t="e">
        <f>E74-E75</f>
        <v>#VALUE!</v>
      </c>
      <c r="F76" s="219"/>
      <c r="H76" s="167" t="e">
        <f>H74-H75</f>
        <v>#VALUE!</v>
      </c>
      <c r="I76" s="219"/>
      <c r="K76" s="24"/>
    </row>
    <row r="77" spans="1:11" ht="15" customHeight="1" x14ac:dyDescent="0.4">
      <c r="B77" s="105" t="s">
        <v>133</v>
      </c>
      <c r="C77" s="77" t="e">
        <f>Data!C10-MAX(Data!C12,0)</f>
        <v>#VALUE!</v>
      </c>
      <c r="D77" s="164" t="e">
        <f>C77/$C$74</f>
        <v>#VALUE!</v>
      </c>
      <c r="E77" s="186" t="e">
        <f>E74*F77</f>
        <v>#VALUE!</v>
      </c>
      <c r="F77" s="165" t="e">
        <f>I77</f>
        <v>#VALUE!</v>
      </c>
      <c r="H77" s="205" t="e">
        <f>D77*H74</f>
        <v>#VALUE!</v>
      </c>
      <c r="I77" s="165" t="e">
        <f>H77/$H$74</f>
        <v>#VALUE!</v>
      </c>
      <c r="K77" s="24"/>
    </row>
    <row r="78" spans="1:11" ht="15" customHeight="1" x14ac:dyDescent="0.4">
      <c r="B78" s="35" t="s">
        <v>97</v>
      </c>
      <c r="C78" s="166" t="e">
        <f>C76-C77</f>
        <v>#VALUE!</v>
      </c>
      <c r="D78" s="219"/>
      <c r="E78" s="167" t="e">
        <f>E76-E77</f>
        <v>#VALUE!</v>
      </c>
      <c r="F78" s="219"/>
      <c r="H78" s="167" t="e">
        <f>H76-H77</f>
        <v>#VALUE!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 t="e">
        <f>C79/$C$74</f>
        <v>#VALUE!</v>
      </c>
      <c r="E79" s="186" t="e">
        <f>E74*F79</f>
        <v>#VALUE!</v>
      </c>
      <c r="F79" s="165" t="e">
        <f t="shared" ref="F79:F84" si="3">I79</f>
        <v>#VALUE!</v>
      </c>
      <c r="H79" s="205">
        <f>C79</f>
        <v>0</v>
      </c>
      <c r="I79" s="165" t="e">
        <f>H79/$H$74</f>
        <v>#VALUE!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 t="e">
        <f>C80/$C$74</f>
        <v>#VALUE!</v>
      </c>
      <c r="E80" s="186" t="e">
        <f>E74*F80</f>
        <v>#VALUE!</v>
      </c>
      <c r="F80" s="165" t="e">
        <f t="shared" si="3"/>
        <v>#VALUE!</v>
      </c>
      <c r="H80" s="205" t="e">
        <f>H74*D80</f>
        <v>#VALUE!</v>
      </c>
      <c r="I80" s="165" t="e">
        <f>H80/$H$74</f>
        <v>#VALUE!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 t="e">
        <f>C81/$C$74</f>
        <v>#VALUE!</v>
      </c>
      <c r="E81" s="186" t="e">
        <f>E74*F81</f>
        <v>#VALUE!</v>
      </c>
      <c r="F81" s="165" t="e">
        <f t="shared" si="3"/>
        <v>#VALUE!</v>
      </c>
      <c r="H81" s="205">
        <v>0</v>
      </c>
      <c r="I81" s="165" t="e">
        <f>H81/$H$74</f>
        <v>#VALUE!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 t="e">
        <f>C82/$C$74</f>
        <v>#VALUE!</v>
      </c>
      <c r="E82" s="186" t="e">
        <f>E74*F82</f>
        <v>#VALUE!</v>
      </c>
      <c r="F82" s="165" t="e">
        <f t="shared" si="3"/>
        <v>#VALUE!</v>
      </c>
      <c r="H82" s="205" t="e">
        <f>H74*D82</f>
        <v>#VALUE!</v>
      </c>
      <c r="I82" s="165" t="e">
        <f>H82/$H$74</f>
        <v>#VALUE!</v>
      </c>
      <c r="K82" s="24"/>
    </row>
    <row r="83" spans="1:11" ht="15" customHeight="1" thickBot="1" x14ac:dyDescent="0.45">
      <c r="B83" s="106" t="s">
        <v>134</v>
      </c>
      <c r="C83" s="168" t="e">
        <f>C78-C79-C80-C81-C82</f>
        <v>#VALUE!</v>
      </c>
      <c r="D83" s="169" t="e">
        <f>C83/$C$74</f>
        <v>#VALUE!</v>
      </c>
      <c r="E83" s="170" t="e">
        <f>E78-E79-E80-E81-E82</f>
        <v>#VALUE!</v>
      </c>
      <c r="F83" s="169" t="e">
        <f>E83/E74</f>
        <v>#VALUE!</v>
      </c>
      <c r="H83" s="170" t="e">
        <f>H78-H79-H80-H81-H82</f>
        <v>#VALUE!</v>
      </c>
      <c r="I83" s="169" t="e">
        <f>H83/$H$74</f>
        <v>#VALUE!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 t="e">
        <f>C83*(1-I84)</f>
        <v>#VALUE!</v>
      </c>
      <c r="D85" s="171" t="e">
        <f>C85/$C$74</f>
        <v>#VALUE!</v>
      </c>
      <c r="E85" s="172" t="e">
        <f>E83*(1-F84)</f>
        <v>#VALUE!</v>
      </c>
      <c r="F85" s="171" t="e">
        <f>E85/E74</f>
        <v>#VALUE!</v>
      </c>
      <c r="H85" s="172" t="e">
        <f>H83*(1-I84)</f>
        <v>#VALUE!</v>
      </c>
      <c r="I85" s="171" t="e">
        <f>H85/$H$74</f>
        <v>#VALUE!</v>
      </c>
      <c r="K85" s="24"/>
    </row>
    <row r="86" spans="1:11" ht="15" customHeight="1" x14ac:dyDescent="0.4">
      <c r="B86" s="87" t="s">
        <v>172</v>
      </c>
      <c r="C86" s="173" t="e">
        <f>C85*Data!C4/Common_Shares</f>
        <v>#VALUE!</v>
      </c>
      <c r="D86" s="218"/>
      <c r="E86" s="174" t="e">
        <f>E85*Data!C4/Common_Shares</f>
        <v>#VALUE!</v>
      </c>
      <c r="F86" s="218"/>
      <c r="H86" s="174" t="e">
        <f>H85*Data!C4/Common_Shares</f>
        <v>#VALUE!</v>
      </c>
      <c r="I86" s="218"/>
      <c r="K86" s="24"/>
    </row>
    <row r="87" spans="1:11" ht="15" customHeight="1" x14ac:dyDescent="0.4">
      <c r="B87" s="87" t="s">
        <v>227</v>
      </c>
      <c r="C87" s="165" t="e">
        <f>C86*Exchange_Rate/Dashboard!G3</f>
        <v>#VALUE!</v>
      </c>
      <c r="D87" s="218"/>
      <c r="E87" s="239" t="e">
        <f>E86*Exchange_Rate/Dashboard!G3</f>
        <v>#VALUE!</v>
      </c>
      <c r="F87" s="218"/>
      <c r="H87" s="239" t="e">
        <f>H86*Exchange_Rate/Dashboard!G3</f>
        <v>#VALUE!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0.1178</v>
      </c>
      <c r="D88" s="171" t="e">
        <f>C88/C86</f>
        <v>#VALUE!</v>
      </c>
      <c r="E88" s="204">
        <f>H88</f>
        <v>0.1178</v>
      </c>
      <c r="F88" s="171" t="e">
        <f>E88/E86</f>
        <v>#VALUE!</v>
      </c>
      <c r="H88" s="176">
        <f>Inputs!F6</f>
        <v>0.1178</v>
      </c>
      <c r="I88" s="171" t="e">
        <f>H88/H86</f>
        <v>#VALUE!</v>
      </c>
      <c r="K88" s="24"/>
    </row>
    <row r="89" spans="1:11" ht="15" customHeight="1" x14ac:dyDescent="0.4">
      <c r="B89" s="87" t="s">
        <v>248</v>
      </c>
      <c r="C89" s="165">
        <f>C88*Exchange_Rate/Dashboard!G3</f>
        <v>6.458070972199545E-2</v>
      </c>
      <c r="D89" s="218"/>
      <c r="E89" s="165">
        <f>E88*Exchange_Rate/Dashboard!G3</f>
        <v>6.458070972199545E-2</v>
      </c>
      <c r="F89" s="218"/>
      <c r="H89" s="165">
        <f>H88*Exchange_Rate/Dashboard!G3</f>
        <v>6.458070972199545E-2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7" t="s">
        <v>225</v>
      </c>
      <c r="F92" s="257"/>
      <c r="G92" s="87"/>
      <c r="H92" s="257" t="s">
        <v>224</v>
      </c>
      <c r="I92" s="257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 t="e">
        <f>FV(E87,D93,0,-(E86/C93))</f>
        <v>#VALUE!</v>
      </c>
      <c r="H93" s="87" t="s">
        <v>228</v>
      </c>
      <c r="I93" s="146" t="e">
        <f>FV(H87,D93,0,-(H86/C93))</f>
        <v>#VALUE!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2.0134843843267864</v>
      </c>
      <c r="H94" s="87" t="s">
        <v>229</v>
      </c>
      <c r="I94" s="146">
        <f>FV(H89,D93,0,-(H88/C93))</f>
        <v>2.0134843843267864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 t="e">
        <f>H97*Common_Shares/Data!C4</f>
        <v>#VALUE!</v>
      </c>
      <c r="E97" s="124" t="e">
        <f>PV(C94,D93,0,-F93)*Exchange_Rate</f>
        <v>#VALUE!</v>
      </c>
      <c r="F97" s="124" t="e">
        <f>PV(C93,D93,0,-F93)*Exchange_Rate</f>
        <v>#VALUE!</v>
      </c>
      <c r="H97" s="124" t="e">
        <f>PV(C93,D93,0,-I93)*Exchange_Rate</f>
        <v>#VALUE!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 t="e">
        <f>C97-C98+$C$99</f>
        <v>#VALUE!</v>
      </c>
      <c r="E100" s="110" t="e">
        <f>MAX(E97-H98+F99,0)</f>
        <v>#VALUE!</v>
      </c>
      <c r="F100" s="110" t="e">
        <f>MAX(F97-H98+F99,0)</f>
        <v>#VALUE!</v>
      </c>
      <c r="H100" s="110" t="e">
        <f>MAX(C100*Data!$C$4/Common_Shares,0)</f>
        <v>#VALUE!</v>
      </c>
      <c r="I100" s="110" t="e">
        <f>H100*1.25</f>
        <v>#VALUE!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1973295.0874880888</v>
      </c>
      <c r="E103" s="110">
        <f>PV(C94,D93,0,-F94)*Exchange_Rate</f>
        <v>1.0811422001955733</v>
      </c>
      <c r="F103" s="124">
        <f>PV(C93,D93,0,-F94)*Exchange_Rate</f>
        <v>1.4799711306196752</v>
      </c>
      <c r="H103" s="124">
        <f>PV(C93,D93,0,-I94)*Exchange_Rate</f>
        <v>1.4799711306196752</v>
      </c>
      <c r="I103" s="110">
        <f>H103*1.25</f>
        <v>1.849963913274594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 t="e">
        <f>F106*Common_Shares/Data!C4</f>
        <v>#VALUE!</v>
      </c>
      <c r="E106" s="110" t="e">
        <f>(E100+E103)/2</f>
        <v>#VALUE!</v>
      </c>
      <c r="F106" s="124" t="e">
        <f>(F100+F103)/2</f>
        <v>#VALUE!</v>
      </c>
      <c r="H106" s="124" t="e">
        <f>(H100+H103)/2</f>
        <v>#VALUE!</v>
      </c>
      <c r="I106" s="110" t="e">
        <f>H106*1.25</f>
        <v>#VALUE!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2024-11-15T04:34:44Z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