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13_ncr:1_{19A2220C-E971-4C9F-BF7E-14B0CD7DD2BB}" xr6:coauthVersionLast="47" xr6:coauthVersionMax="47" xr10:uidLastSave="{00000000-0000-0000-0000-000000000000}"/>
  <bookViews>
    <workbookView xWindow="33720" yWindow="-120" windowWidth="29040" windowHeight="15720" activeTab="3" xr2:uid="{00000000-000D-0000-FFFF-FFFF00000000}"/>
  </bookViews>
  <sheets>
    <sheet name="Dashboard" sheetId="1" r:id="rId1"/>
    <sheet name="Inputs" sheetId="4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100" i="3" l="1"/>
  <c r="E100" i="3"/>
  <c r="C79" i="3"/>
  <c r="E53" i="3"/>
  <c r="F6" i="4"/>
  <c r="H88" i="3" s="1"/>
  <c r="F5" i="4"/>
  <c r="C88" i="3" s="1"/>
  <c r="D58" i="3" l="1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84" i="3" s="1"/>
  <c r="E36" i="2" l="1"/>
  <c r="F36" i="2"/>
  <c r="G36" i="2"/>
  <c r="G27" i="2" s="1"/>
  <c r="H36" i="2"/>
  <c r="H27" i="2" s="1"/>
  <c r="I36" i="2"/>
  <c r="I27" i="2" s="1"/>
  <c r="J36" i="2"/>
  <c r="J27" i="2" s="1"/>
  <c r="K36" i="2"/>
  <c r="K27" i="2" s="1"/>
  <c r="L36" i="2"/>
  <c r="L27" i="2" s="1"/>
  <c r="M36" i="2"/>
  <c r="M27" i="2" s="1"/>
  <c r="E37" i="2"/>
  <c r="F37" i="2"/>
  <c r="G37" i="2"/>
  <c r="H37" i="2"/>
  <c r="I37" i="2"/>
  <c r="J37" i="2"/>
  <c r="K37" i="2"/>
  <c r="L37" i="2"/>
  <c r="M37" i="2"/>
  <c r="E38" i="2"/>
  <c r="F38" i="2"/>
  <c r="G38" i="2"/>
  <c r="G39" i="2" s="1"/>
  <c r="G40" i="2" s="1"/>
  <c r="H38" i="2"/>
  <c r="H39" i="2" s="1"/>
  <c r="H40" i="2" s="1"/>
  <c r="I38" i="2"/>
  <c r="I39" i="2" s="1"/>
  <c r="I40" i="2" s="1"/>
  <c r="J38" i="2"/>
  <c r="J39" i="2" s="1"/>
  <c r="J40" i="2" s="1"/>
  <c r="K38" i="2"/>
  <c r="K39" i="2" s="1"/>
  <c r="K40" i="2" s="1"/>
  <c r="L38" i="2"/>
  <c r="L39" i="2" s="1"/>
  <c r="L40" i="2" s="1"/>
  <c r="M38" i="2"/>
  <c r="M39" i="2" s="1"/>
  <c r="M40" i="2" s="1"/>
  <c r="D37" i="2"/>
  <c r="D38" i="2"/>
  <c r="D36" i="2"/>
  <c r="C4" i="2"/>
  <c r="C3" i="2"/>
  <c r="G6" i="2"/>
  <c r="H6" i="2"/>
  <c r="I6" i="2"/>
  <c r="I43" i="2" s="1"/>
  <c r="D14" i="2"/>
  <c r="E14" i="2"/>
  <c r="F14" i="2"/>
  <c r="G14" i="2"/>
  <c r="H14" i="2"/>
  <c r="I14" i="2"/>
  <c r="J14" i="2"/>
  <c r="K14" i="2"/>
  <c r="L14" i="2"/>
  <c r="M14" i="2"/>
  <c r="D15" i="2"/>
  <c r="E15" i="2"/>
  <c r="F15" i="2"/>
  <c r="G15" i="2"/>
  <c r="H15" i="2"/>
  <c r="I15" i="2"/>
  <c r="J15" i="2"/>
  <c r="K15" i="2"/>
  <c r="L15" i="2"/>
  <c r="M15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D18" i="2"/>
  <c r="E18" i="2"/>
  <c r="F18" i="2"/>
  <c r="G18" i="2"/>
  <c r="H18" i="2"/>
  <c r="I18" i="2"/>
  <c r="J18" i="2"/>
  <c r="K18" i="2"/>
  <c r="L18" i="2"/>
  <c r="M18" i="2"/>
  <c r="C14" i="2"/>
  <c r="D12" i="2"/>
  <c r="E12" i="2"/>
  <c r="F12" i="2"/>
  <c r="G12" i="2"/>
  <c r="H12" i="2"/>
  <c r="H11" i="2" s="1"/>
  <c r="I12" i="2"/>
  <c r="J12" i="2"/>
  <c r="K12" i="2"/>
  <c r="L12" i="2"/>
  <c r="M12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I7" i="2" s="1"/>
  <c r="K6" i="2"/>
  <c r="J7" i="2" s="1"/>
  <c r="L6" i="2"/>
  <c r="L11" i="2" s="1"/>
  <c r="M6" i="2"/>
  <c r="M44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C77" i="3" s="1"/>
  <c r="E28" i="2"/>
  <c r="F28" i="2"/>
  <c r="G28" i="2"/>
  <c r="H28" i="2"/>
  <c r="I28" i="2"/>
  <c r="J28" i="2"/>
  <c r="K28" i="2"/>
  <c r="L28" i="2"/>
  <c r="M28" i="2"/>
  <c r="E29" i="2"/>
  <c r="F29" i="2"/>
  <c r="G29" i="2"/>
  <c r="G50" i="2" s="1"/>
  <c r="H29" i="2"/>
  <c r="H50" i="2" s="1"/>
  <c r="I29" i="2"/>
  <c r="I50" i="2" s="1"/>
  <c r="J29" i="2"/>
  <c r="J50" i="2" s="1"/>
  <c r="K29" i="2"/>
  <c r="K50" i="2" s="1"/>
  <c r="L29" i="2"/>
  <c r="L50" i="2" s="1"/>
  <c r="M29" i="2"/>
  <c r="M50" i="2" s="1"/>
  <c r="E30" i="2"/>
  <c r="F30" i="2"/>
  <c r="G30" i="2"/>
  <c r="G51" i="2" s="1"/>
  <c r="H30" i="2"/>
  <c r="H51" i="2" s="1"/>
  <c r="I30" i="2"/>
  <c r="I51" i="2" s="1"/>
  <c r="J30" i="2"/>
  <c r="J51" i="2" s="1"/>
  <c r="K30" i="2"/>
  <c r="K51" i="2" s="1"/>
  <c r="L30" i="2"/>
  <c r="L51" i="2" s="1"/>
  <c r="M30" i="2"/>
  <c r="M51" i="2" s="1"/>
  <c r="E31" i="2"/>
  <c r="F31" i="2"/>
  <c r="G31" i="2"/>
  <c r="H31" i="2"/>
  <c r="I31" i="2"/>
  <c r="J31" i="2"/>
  <c r="K31" i="2"/>
  <c r="L31" i="2"/>
  <c r="M31" i="2"/>
  <c r="E32" i="2"/>
  <c r="F32" i="2"/>
  <c r="G32" i="2"/>
  <c r="H32" i="2"/>
  <c r="I32" i="2"/>
  <c r="J32" i="2"/>
  <c r="K32" i="2"/>
  <c r="L32" i="2"/>
  <c r="M32" i="2"/>
  <c r="E33" i="2"/>
  <c r="F33" i="2"/>
  <c r="G33" i="2"/>
  <c r="H33" i="2"/>
  <c r="I33" i="2"/>
  <c r="J33" i="2"/>
  <c r="K33" i="2"/>
  <c r="L33" i="2"/>
  <c r="M33" i="2"/>
  <c r="E34" i="2"/>
  <c r="F34" i="2"/>
  <c r="G34" i="2"/>
  <c r="H34" i="2"/>
  <c r="I34" i="2"/>
  <c r="J34" i="2"/>
  <c r="K34" i="2"/>
  <c r="L34" i="2"/>
  <c r="M34" i="2"/>
  <c r="D29" i="2"/>
  <c r="D30" i="2"/>
  <c r="D31" i="2"/>
  <c r="D32" i="2"/>
  <c r="D33" i="2"/>
  <c r="D34" i="2"/>
  <c r="D28" i="2"/>
  <c r="C15" i="2"/>
  <c r="C16" i="2"/>
  <c r="C17" i="2"/>
  <c r="C18" i="2"/>
  <c r="C12" i="2"/>
  <c r="C92" i="3"/>
  <c r="B93" i="3" s="1"/>
  <c r="I11" i="3"/>
  <c r="C18" i="4"/>
  <c r="D18" i="4" s="1"/>
  <c r="E18" i="4" s="1"/>
  <c r="F18" i="4" s="1"/>
  <c r="G18" i="4" s="1"/>
  <c r="H18" i="4" s="1"/>
  <c r="I18" i="4" s="1"/>
  <c r="J18" i="4" s="1"/>
  <c r="K18" i="4" s="1"/>
  <c r="L18" i="4" s="1"/>
  <c r="M18" i="4" s="1"/>
  <c r="G6" i="1"/>
  <c r="G4" i="1"/>
  <c r="D7" i="1"/>
  <c r="C7" i="1"/>
  <c r="C6" i="1"/>
  <c r="C5" i="1"/>
  <c r="C4" i="1"/>
  <c r="C3" i="1"/>
  <c r="C94" i="3"/>
  <c r="H96" i="3"/>
  <c r="G28" i="1" s="1"/>
  <c r="F96" i="3"/>
  <c r="F28" i="1" s="1"/>
  <c r="F84" i="3"/>
  <c r="D11" i="2" l="1"/>
  <c r="F7" i="2"/>
  <c r="E35" i="2"/>
  <c r="K35" i="2"/>
  <c r="M35" i="2"/>
  <c r="E51" i="2"/>
  <c r="E50" i="2"/>
  <c r="D35" i="2"/>
  <c r="I35" i="2"/>
  <c r="L35" i="2"/>
  <c r="F51" i="2"/>
  <c r="J35" i="2"/>
  <c r="F50" i="2"/>
  <c r="G11" i="2"/>
  <c r="F27" i="2"/>
  <c r="F39" i="2" s="1"/>
  <c r="E27" i="2"/>
  <c r="E39" i="2" s="1"/>
  <c r="D51" i="2"/>
  <c r="H35" i="2"/>
  <c r="D50" i="2"/>
  <c r="G35" i="2"/>
  <c r="F35" i="2"/>
  <c r="D27" i="2"/>
  <c r="D39" i="2" s="1"/>
  <c r="I44" i="2"/>
  <c r="E11" i="2"/>
  <c r="J44" i="2"/>
  <c r="D43" i="2"/>
  <c r="F11" i="2"/>
  <c r="E43" i="2"/>
  <c r="J11" i="2"/>
  <c r="D44" i="2"/>
  <c r="J13" i="2"/>
  <c r="E5" i="4"/>
  <c r="F9" i="2"/>
  <c r="F13" i="2" s="1"/>
  <c r="F21" i="2" s="1"/>
  <c r="E9" i="2"/>
  <c r="E13" i="2" s="1"/>
  <c r="E21" i="2" s="1"/>
  <c r="E54" i="2" s="1"/>
  <c r="L44" i="2"/>
  <c r="L7" i="2"/>
  <c r="C7" i="2"/>
  <c r="C80" i="3"/>
  <c r="K44" i="2"/>
  <c r="G43" i="2"/>
  <c r="M13" i="2"/>
  <c r="L13" i="2"/>
  <c r="K13" i="2"/>
  <c r="G44" i="2"/>
  <c r="F43" i="2"/>
  <c r="C43" i="2"/>
  <c r="M43" i="2"/>
  <c r="M21" i="2"/>
  <c r="M54" i="2" s="1"/>
  <c r="I13" i="2"/>
  <c r="H44" i="2"/>
  <c r="K43" i="2"/>
  <c r="M11" i="2"/>
  <c r="K21" i="2"/>
  <c r="K54" i="2" s="1"/>
  <c r="J43" i="2"/>
  <c r="L43" i="2"/>
  <c r="E7" i="2"/>
  <c r="C11" i="2"/>
  <c r="L21" i="2"/>
  <c r="L54" i="2" s="1"/>
  <c r="D9" i="2"/>
  <c r="D13" i="2" s="1"/>
  <c r="D21" i="2" s="1"/>
  <c r="H7" i="2"/>
  <c r="J21" i="2"/>
  <c r="J54" i="2" s="1"/>
  <c r="C44" i="2"/>
  <c r="F44" i="2"/>
  <c r="H43" i="2"/>
  <c r="H9" i="2"/>
  <c r="H13" i="2" s="1"/>
  <c r="H21" i="2" s="1"/>
  <c r="K11" i="2"/>
  <c r="E44" i="2"/>
  <c r="I21" i="2"/>
  <c r="I11" i="2"/>
  <c r="G7" i="2"/>
  <c r="G9" i="2"/>
  <c r="G13" i="2" s="1"/>
  <c r="G21" i="2" s="1"/>
  <c r="G54" i="2" s="1"/>
  <c r="K7" i="2"/>
  <c r="C9" i="2"/>
  <c r="C13" i="2" s="1"/>
  <c r="C21" i="2" s="1"/>
  <c r="M9" i="2"/>
  <c r="L9" i="2"/>
  <c r="I9" i="2"/>
  <c r="D7" i="2"/>
  <c r="K9" i="2"/>
  <c r="J9" i="2"/>
  <c r="F102" i="3"/>
  <c r="H102" i="3"/>
  <c r="C93" i="3"/>
  <c r="M20" i="2"/>
  <c r="F54" i="2" l="1"/>
  <c r="I54" i="2"/>
  <c r="H54" i="2"/>
  <c r="E19" i="2"/>
  <c r="D54" i="2"/>
  <c r="E40" i="2"/>
  <c r="F40" i="2"/>
  <c r="D40" i="2"/>
  <c r="C89" i="3"/>
  <c r="E88" i="3" l="1"/>
  <c r="H89" i="3" l="1"/>
  <c r="I94" i="3" s="1"/>
  <c r="H103" i="3" s="1"/>
  <c r="G26" i="1"/>
  <c r="D47" i="2"/>
  <c r="C82" i="3"/>
  <c r="C96" i="3"/>
  <c r="C102" i="3" s="1"/>
  <c r="C105" i="3" s="1"/>
  <c r="B96" i="3"/>
  <c r="C81" i="3"/>
  <c r="E47" i="2"/>
  <c r="F47" i="2"/>
  <c r="G47" i="2"/>
  <c r="H47" i="2"/>
  <c r="I47" i="2"/>
  <c r="J47" i="2"/>
  <c r="K47" i="2"/>
  <c r="L47" i="2"/>
  <c r="M47" i="2"/>
  <c r="G33" i="3"/>
  <c r="C45" i="2"/>
  <c r="C29" i="2"/>
  <c r="C50" i="2" s="1"/>
  <c r="D45" i="2"/>
  <c r="E45" i="2"/>
  <c r="F45" i="2"/>
  <c r="G45" i="2"/>
  <c r="H45" i="2"/>
  <c r="I45" i="2"/>
  <c r="J45" i="2"/>
  <c r="K45" i="2"/>
  <c r="L45" i="2"/>
  <c r="M45" i="2"/>
  <c r="I34" i="3"/>
  <c r="I53" i="2"/>
  <c r="J53" i="2"/>
  <c r="K53" i="2"/>
  <c r="L53" i="2"/>
  <c r="M53" i="2"/>
  <c r="C30" i="2"/>
  <c r="C51" i="2" s="1"/>
  <c r="E9" i="3"/>
  <c r="E6" i="1" s="1"/>
  <c r="E89" i="3" l="1"/>
  <c r="F94" i="3" s="1"/>
  <c r="I103" i="3"/>
  <c r="C47" i="2"/>
  <c r="C103" i="3"/>
  <c r="I15" i="3"/>
  <c r="D56" i="3" s="1"/>
  <c r="C62" i="3"/>
  <c r="E103" i="3" l="1"/>
  <c r="F103" i="3"/>
  <c r="C26" i="2"/>
  <c r="B73" i="3"/>
  <c r="C74" i="3"/>
  <c r="H74" i="3" s="1"/>
  <c r="C75" i="3"/>
  <c r="H79" i="3"/>
  <c r="H81" i="3"/>
  <c r="D4" i="2"/>
  <c r="D46" i="2"/>
  <c r="E46" i="2"/>
  <c r="F46" i="2"/>
  <c r="G46" i="2"/>
  <c r="H46" i="2"/>
  <c r="I46" i="2"/>
  <c r="J46" i="2"/>
  <c r="K46" i="2"/>
  <c r="L46" i="2"/>
  <c r="M46" i="2"/>
  <c r="C46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K19" i="2"/>
  <c r="L19" i="2"/>
  <c r="K20" i="2" s="1"/>
  <c r="M19" i="2"/>
  <c r="L20" i="2" s="1"/>
  <c r="C19" i="2"/>
  <c r="E74" i="3" l="1"/>
  <c r="I19" i="2"/>
  <c r="J19" i="2"/>
  <c r="I20" i="2" s="1"/>
  <c r="J20" i="2"/>
  <c r="D19" i="2"/>
  <c r="D20" i="2" s="1"/>
  <c r="G19" i="2"/>
  <c r="G3" i="2"/>
  <c r="H19" i="2"/>
  <c r="F19" i="2"/>
  <c r="H53" i="2"/>
  <c r="D77" i="3"/>
  <c r="D53" i="2"/>
  <c r="E24" i="2"/>
  <c r="D81" i="3"/>
  <c r="C76" i="3"/>
  <c r="C78" i="3" s="1"/>
  <c r="D82" i="3"/>
  <c r="D75" i="3"/>
  <c r="D80" i="3"/>
  <c r="H80" i="3" s="1"/>
  <c r="D79" i="3"/>
  <c r="C28" i="3"/>
  <c r="C28" i="2" s="1"/>
  <c r="K55" i="2" l="1"/>
  <c r="G24" i="2"/>
  <c r="F55" i="2"/>
  <c r="M55" i="2"/>
  <c r="J48" i="2"/>
  <c r="D24" i="2"/>
  <c r="I55" i="2"/>
  <c r="L48" i="2"/>
  <c r="L24" i="2"/>
  <c r="L23" i="2" s="1"/>
  <c r="H20" i="2"/>
  <c r="L55" i="2"/>
  <c r="C20" i="2"/>
  <c r="H77" i="3"/>
  <c r="I77" i="3" s="1"/>
  <c r="F3" i="2"/>
  <c r="F4" i="2" s="1"/>
  <c r="G20" i="2"/>
  <c r="F20" i="2"/>
  <c r="E20" i="2"/>
  <c r="H75" i="3"/>
  <c r="I75" i="3" s="1"/>
  <c r="I79" i="3"/>
  <c r="I81" i="3"/>
  <c r="C83" i="3"/>
  <c r="C85" i="3" s="1"/>
  <c r="I82" i="3"/>
  <c r="F82" i="3" s="1"/>
  <c r="E82" i="3" s="1"/>
  <c r="I80" i="3"/>
  <c r="C24" i="2"/>
  <c r="E55" i="2"/>
  <c r="E48" i="2"/>
  <c r="C34" i="2"/>
  <c r="C33" i="2"/>
  <c r="C47" i="3"/>
  <c r="C45" i="3"/>
  <c r="C27" i="3"/>
  <c r="C26" i="3"/>
  <c r="C44" i="3"/>
  <c r="C46" i="3"/>
  <c r="C35" i="2" l="1"/>
  <c r="C54" i="2" s="1"/>
  <c r="H55" i="2"/>
  <c r="D48" i="2"/>
  <c r="G48" i="2"/>
  <c r="K48" i="2"/>
  <c r="M24" i="2"/>
  <c r="L25" i="2" s="1"/>
  <c r="K24" i="2"/>
  <c r="K23" i="2" s="1"/>
  <c r="J55" i="2"/>
  <c r="J24" i="2"/>
  <c r="J23" i="2" s="1"/>
  <c r="H24" i="2"/>
  <c r="H23" i="2" s="1"/>
  <c r="G55" i="2"/>
  <c r="D55" i="2"/>
  <c r="I48" i="2"/>
  <c r="H48" i="2"/>
  <c r="I24" i="2"/>
  <c r="I23" i="2" s="1"/>
  <c r="F24" i="2"/>
  <c r="F48" i="2"/>
  <c r="M48" i="2"/>
  <c r="M23" i="2"/>
  <c r="C24" i="1"/>
  <c r="F81" i="3"/>
  <c r="E81" i="3" s="1"/>
  <c r="C22" i="1"/>
  <c r="F79" i="3"/>
  <c r="E79" i="3" s="1"/>
  <c r="C21" i="1"/>
  <c r="F77" i="3"/>
  <c r="E77" i="3" s="1"/>
  <c r="C23" i="1"/>
  <c r="F80" i="3"/>
  <c r="E80" i="3" s="1"/>
  <c r="C20" i="1"/>
  <c r="F75" i="3"/>
  <c r="E75" i="3" s="1"/>
  <c r="E76" i="3" s="1"/>
  <c r="H76" i="3"/>
  <c r="H78" i="3" s="1"/>
  <c r="H83" i="3" s="1"/>
  <c r="D83" i="3"/>
  <c r="D85" i="3"/>
  <c r="C86" i="3"/>
  <c r="C25" i="1"/>
  <c r="C48" i="2"/>
  <c r="D88" i="3" l="1"/>
  <c r="C87" i="3"/>
  <c r="I83" i="3"/>
  <c r="H85" i="3"/>
  <c r="I22" i="3"/>
  <c r="C26" i="1" l="1"/>
  <c r="F83" i="3"/>
  <c r="E83" i="3" s="1"/>
  <c r="I85" i="3"/>
  <c r="H86" i="3"/>
  <c r="I42" i="3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M22" i="2"/>
  <c r="K25" i="2"/>
  <c r="J25" i="2"/>
  <c r="I25" i="2"/>
  <c r="H25" i="2"/>
  <c r="G25" i="2"/>
  <c r="G5" i="1"/>
  <c r="C2" i="1"/>
  <c r="C56" i="2"/>
  <c r="H87" i="3" l="1"/>
  <c r="I93" i="3" s="1"/>
  <c r="H97" i="3" s="1"/>
  <c r="C97" i="3" s="1"/>
  <c r="G24" i="1"/>
  <c r="I88" i="3"/>
  <c r="C61" i="3"/>
  <c r="E61" i="3"/>
  <c r="E63" i="3" s="1"/>
  <c r="D25" i="2"/>
  <c r="E23" i="2"/>
  <c r="D23" i="2"/>
  <c r="C25" i="2"/>
  <c r="F23" i="2"/>
  <c r="E25" i="2"/>
  <c r="F25" i="2"/>
  <c r="G23" i="2"/>
  <c r="C55" i="2"/>
  <c r="D5" i="2"/>
  <c r="E5" i="2" s="1"/>
  <c r="E45" i="3"/>
  <c r="E47" i="3"/>
  <c r="D47" i="3" s="1"/>
  <c r="E46" i="3"/>
  <c r="D46" i="3" s="1"/>
  <c r="E25" i="3"/>
  <c r="E27" i="3"/>
  <c r="E26" i="3"/>
  <c r="I7" i="3"/>
  <c r="L22" i="2"/>
  <c r="G22" i="2"/>
  <c r="H22" i="2"/>
  <c r="I22" i="2"/>
  <c r="J22" i="2"/>
  <c r="K22" i="2"/>
  <c r="F22" i="2"/>
  <c r="E64" i="3"/>
  <c r="E69" i="3" s="1"/>
  <c r="E24" i="3"/>
  <c r="E48" i="3"/>
  <c r="D48" i="3" s="1"/>
  <c r="E22" i="2"/>
  <c r="D22" i="2"/>
  <c r="C22" i="2"/>
  <c r="G25" i="1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L26" i="2" s="1"/>
  <c r="M26" i="2" s="1"/>
  <c r="C49" i="3"/>
  <c r="D26" i="3"/>
  <c r="D27" i="3"/>
  <c r="I5" i="3"/>
  <c r="I26" i="3"/>
  <c r="J26" i="3" s="1"/>
  <c r="E28" i="3"/>
  <c r="I25" i="3" s="1"/>
  <c r="D61" i="3"/>
  <c r="I27" i="3"/>
  <c r="J27" i="3" s="1"/>
  <c r="I47" i="3"/>
  <c r="J47" i="3" s="1"/>
  <c r="I46" i="3"/>
  <c r="J46" i="3" s="1"/>
  <c r="D62" i="3"/>
  <c r="D24" i="3"/>
  <c r="C65" i="3" l="1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D44" i="3"/>
  <c r="D45" i="3"/>
  <c r="D25" i="3"/>
  <c r="C99" i="3" l="1"/>
  <c r="H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C27" i="2"/>
  <c r="C53" i="2" s="1"/>
  <c r="C37" i="2"/>
  <c r="D6" i="3" l="1"/>
  <c r="C98" i="3"/>
  <c r="H98" i="3" s="1"/>
  <c r="C100" i="3" l="1"/>
  <c r="H100" i="3" s="1"/>
  <c r="H106" i="3" s="1"/>
  <c r="D53" i="3"/>
  <c r="D7" i="3"/>
  <c r="D52" i="3"/>
  <c r="G29" i="1" l="1"/>
  <c r="I106" i="3"/>
  <c r="E6" i="3"/>
  <c r="I100" i="3" l="1"/>
  <c r="E85" i="3" l="1"/>
  <c r="E86" i="3" s="1"/>
  <c r="E87" i="3" l="1"/>
  <c r="F93" i="3" s="1"/>
  <c r="F88" i="3"/>
  <c r="F85" i="3"/>
  <c r="E78" i="3"/>
  <c r="E97" i="3" l="1"/>
  <c r="E106" i="3" s="1"/>
  <c r="F97" i="3"/>
  <c r="F106" i="3" s="1"/>
  <c r="F29" i="1" s="1"/>
  <c r="C29" i="1" l="1"/>
  <c r="D29" i="1"/>
  <c r="C106" i="3"/>
</calcChain>
</file>

<file path=xl/sharedStrings.xml><?xml version="1.0" encoding="utf-8"?>
<sst xmlns="http://schemas.openxmlformats.org/spreadsheetml/2006/main" count="349" uniqueCount="248">
  <si>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</si>
  <si>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</si>
  <si>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</si>
  <si>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</si>
  <si>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</si>
  <si>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</si>
  <si>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</si>
  <si>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</si>
  <si>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</si>
  <si>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</si>
  <si>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</si>
  <si>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</si>
  <si>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</si>
  <si>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</si>
  <si>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</si>
  <si>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</si>
  <si>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</si>
  <si>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</si>
  <si>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</si>
  <si>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</si>
  <si>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</si>
  <si>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</si>
  <si>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</si>
  <si>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</si>
  <si>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</si>
  <si>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</si>
  <si>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</si>
  <si>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</si>
  <si>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</si>
  <si>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</si>
  <si>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</si>
  <si>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</si>
  <si>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</si>
  <si>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</si>
  <si>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</si>
  <si>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</si>
  <si>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</si>
  <si>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</si>
  <si>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</si>
  <si>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</si>
  <si>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</si>
  <si>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</si>
  <si>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</si>
  <si>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</si>
  <si>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</si>
  <si>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</si>
  <si>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</si>
  <si>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</si>
  <si>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</si>
  <si>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</si>
  <si>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</si>
  <si>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</si>
  <si>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</si>
  <si>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</si>
  <si>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</si>
  <si>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</si>
  <si>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</si>
  <si>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</si>
  <si>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</si>
  <si>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</si>
  <si>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</si>
  <si>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</si>
  <si>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</si>
  <si>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</si>
  <si>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</si>
  <si>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</si>
  <si>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</si>
  <si>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</si>
  <si>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</si>
  <si>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</si>
  <si>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</si>
  <si>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</si>
  <si>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</si>
  <si>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</si>
  <si>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</si>
  <si>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</si>
  <si>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</si>
  <si>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</si>
  <si>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</si>
  <si>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</si>
  <si>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</si>
  <si>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</si>
  <si>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</si>
  <si>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</si>
  <si>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</si>
  <si>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</si>
  <si>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</si>
  <si>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</si>
  <si>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</si>
  <si>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</si>
  <si>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</si>
  <si>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</si>
  <si>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</si>
  <si>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</si>
  <si>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</si>
  <si>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</si>
  <si>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</si>
  <si>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EBITDA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</si>
  <si>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</si>
  <si>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</si>
  <si>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</si>
  <si>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MCX/Sales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</si>
  <si>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</si>
  <si>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</si>
  <si>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</si>
  <si>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</si>
  <si>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EBITDA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</si>
  <si>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</si>
  <si>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</si>
  <si>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</si>
  <si>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</si>
  <si>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</si>
  <si>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</si>
  <si>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</si>
  <si>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</si>
  <si>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</si>
  <si>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Pre-tax Profit Growth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</si>
  <si>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</si>
  <si>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</si>
  <si>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</si>
  <si>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</si>
  <si>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</si>
  <si>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</si>
  <si>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</si>
  <si>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</si>
  <si>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</si>
  <si>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(OPEX-D&amp;A)/Sales</t>
    <phoneticPr fontId="20" type="noConversion"/>
  </si>
  <si>
    <t>Interest/Sales</t>
    <phoneticPr fontId="20" type="noConversion"/>
  </si>
  <si>
    <t>Interest / Pre-tax Profit</t>
    <phoneticPr fontId="20" type="noConversion"/>
  </si>
  <si>
    <t>- Interest</t>
    <phoneticPr fontId="20" type="noConversion"/>
  </si>
  <si>
    <t>Pre-tax Profit/Sales</t>
    <phoneticPr fontId="20" type="noConversion"/>
  </si>
  <si>
    <t>Solvency Analysis</t>
    <phoneticPr fontId="20" type="noConversion"/>
  </si>
  <si>
    <t>Profibility Analysis</t>
    <phoneticPr fontId="20" type="noConversion"/>
  </si>
  <si>
    <t>- (Operating Expenses - D&amp;A) =</t>
    <phoneticPr fontId="20" type="noConversion"/>
  </si>
  <si>
    <t>Pre-tax Profit =</t>
    <phoneticPr fontId="20" type="noConversion"/>
  </si>
  <si>
    <t>- MCX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</si>
  <si>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</si>
  <si>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</si>
  <si>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</si>
  <si>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</si>
  <si>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</si>
  <si>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</si>
  <si>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Required Return (US)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</si>
  <si>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</si>
  <si>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</si>
  <si>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</si>
  <si>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</si>
  <si>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</si>
  <si>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</si>
  <si>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</si>
  <si>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</si>
  <si>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</si>
  <si>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</si>
  <si>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</si>
  <si>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</si>
  <si>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</si>
  <si>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</si>
  <si>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</si>
  <si>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</si>
  <si>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</si>
  <si>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</si>
  <si>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</si>
  <si>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</si>
  <si>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</si>
  <si>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</si>
  <si>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</si>
  <si>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Valuation Drivers</t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</si>
  <si>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</si>
  <si>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</si>
  <si>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</si>
  <si>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</si>
  <si>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</si>
  <si>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</si>
  <si>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</si>
  <si>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</si>
  <si>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</si>
  <si>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</si>
  <si>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</si>
  <si>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</si>
  <si>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</si>
  <si>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</si>
  <si>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</si>
  <si>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Operating Expenses - D&amp;A</t>
  </si>
  <si>
    <t>Interest</t>
  </si>
  <si>
    <t>MCX</t>
  </si>
  <si>
    <t>ΔWC</t>
  </si>
  <si>
    <t>- Non-controling Interests</t>
  </si>
  <si>
    <t xml:space="preserve">Pre-tax Profit </t>
  </si>
  <si>
    <t>Normalized Payout Ratio</t>
  </si>
  <si>
    <t>Normalized E/P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</si>
  <si>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</si>
  <si>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</si>
  <si>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</si>
  <si>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</si>
  <si>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</si>
  <si>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</si>
  <si>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Required Return (CN)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</si>
  <si>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</si>
  <si>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</si>
  <si>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</si>
  <si>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</si>
  <si>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</si>
  <si>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</si>
  <si>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</si>
  <si>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</si>
  <si>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</si>
  <si>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Others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</si>
  <si>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</si>
  <si>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</si>
  <si>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</si>
  <si>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</si>
  <si>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</si>
  <si>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</si>
  <si>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</si>
  <si>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</si>
  <si>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</si>
  <si>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Normalized Pre-tax Profit</t>
    <phoneticPr fontId="20" type="noConversion"/>
  </si>
  <si>
    <t>Normalized Pre-tax Profit g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</si>
  <si>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</si>
  <si>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</si>
  <si>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</si>
  <si>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</si>
  <si>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</si>
  <si>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</si>
  <si>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Avg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</si>
  <si>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</si>
  <si>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</si>
  <si>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</si>
  <si>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</si>
  <si>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D/P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</si>
  <si>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</si>
  <si>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</si>
  <si>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</si>
  <si>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</si>
  <si>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Upper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</si>
  <si>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</si>
  <si>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</si>
  <si>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</si>
  <si>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</si>
  <si>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</si>
  <si>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</si>
  <si>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Choice of Required Return</t>
    <phoneticPr fontId="20" type="noConversion"/>
  </si>
  <si>
    <t>Most Recent Quarter</t>
    <phoneticPr fontId="20" type="noConversion"/>
  </si>
  <si>
    <t>Common Equity =</t>
    <phoneticPr fontId="20" type="noConversion"/>
  </si>
  <si>
    <t>C0014</t>
    <phoneticPr fontId="20" type="noConversion"/>
  </si>
  <si>
    <t>Dividend</t>
  </si>
  <si>
    <t>0011.HK</t>
    <phoneticPr fontId="20" type="noConversion"/>
  </si>
  <si>
    <t>恒生銀行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</si>
</sst>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8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1"/>
      <color rgb="FF0000FF"/>
      <name val="Microsoft YaHei"/>
      <family val="1"/>
      <charset val="134"/>
    </font>
  </fonts>
  <fills count="12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</fills>
  <borders count="18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53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7" xfId="0" applyFont="1" applyBorder="1" applyAlignment="1">
      <alignment horizontal="center" wrapText="1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0" fontId="2" fillId="8" borderId="14" xfId="0" applyFont="1" applyFill="1" applyBorder="1" applyAlignment="1">
      <alignment horizontal="center"/>
    </xf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4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1" fillId="0" borderId="7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3" fontId="2" fillId="8" borderId="3" xfId="0" applyNumberFormat="1" applyFont="1" applyFill="1" applyBorder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5" fontId="2" fillId="8" borderId="12" xfId="0" applyNumberFormat="1" applyFont="1" applyFill="1" applyBorder="1" applyAlignment="1">
      <alignment horizontal="right"/>
    </xf>
    <xf numFmtId="3" fontId="2" fillId="8" borderId="11" xfId="0" applyNumberFormat="1" applyFont="1" applyFill="1" applyBorder="1" applyAlignment="1">
      <alignment horizontal="right"/>
    </xf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181" fontId="6" fillId="0" borderId="14" xfId="0" applyNumberFormat="1" applyFont="1" applyBorder="1" applyAlignment="1">
      <alignment horizontal="left"/>
    </xf>
    <xf numFmtId="185" fontId="2" fillId="8" borderId="14" xfId="0" applyNumberFormat="1" applyFont="1" applyFill="1" applyBorder="1" applyAlignment="1">
      <alignment horizontal="right"/>
    </xf>
    <xf numFmtId="0" fontId="4" fillId="0" borderId="14" xfId="0" applyFont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9" borderId="14" xfId="0" applyFont="1" applyFill="1" applyBorder="1" applyAlignment="1">
      <alignment horizontal="right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18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G4" sqref="G4:H4"/>
    </sheetView>
  </sheetViews>
  <sheetFormatPr defaultColWidth="12.33203125" defaultRowHeight="15" customHeight="1" x14ac:dyDescent="0.4"/>
  <cols>
    <col min="1" max="1" width="2.33203125" style="1" customWidth="1"/>
    <col min="2" max="2" width="24.33203125" style="1" bestFit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0011.HK : 恒生銀行</v>
      </c>
      <c r="D2" s="87"/>
      <c r="E2" s="7"/>
      <c r="F2" s="7"/>
      <c r="G2" s="86"/>
      <c r="H2" s="86"/>
    </row>
    <row r="3" spans="1:10" ht="15.75" customHeight="1" x14ac:dyDescent="0.4">
      <c r="B3" s="3" t="s">
        <v>211</v>
      </c>
      <c r="C3" s="241" t="str">
        <f>Inputs!C4</f>
        <v>0011.HK</v>
      </c>
      <c r="D3" s="242"/>
      <c r="E3" s="87"/>
      <c r="F3" s="3" t="s">
        <v>1</v>
      </c>
      <c r="G3" s="133">
        <v>93.25</v>
      </c>
      <c r="H3" s="135" t="s">
        <v>2</v>
      </c>
    </row>
    <row r="4" spans="1:10" ht="15.75" customHeight="1" x14ac:dyDescent="0.4">
      <c r="B4" s="35" t="s">
        <v>212</v>
      </c>
      <c r="C4" s="243" t="str">
        <f>Inputs!C5</f>
        <v>恒生銀行</v>
      </c>
      <c r="D4" s="244"/>
      <c r="E4" s="87"/>
      <c r="F4" s="3" t="s">
        <v>3</v>
      </c>
      <c r="G4" s="247">
        <f>Inputs!C10</f>
        <v>1882267536</v>
      </c>
      <c r="H4" s="247"/>
      <c r="I4" s="39"/>
    </row>
    <row r="5" spans="1:10" ht="15.75" customHeight="1" x14ac:dyDescent="0.4">
      <c r="B5" s="3" t="s">
        <v>175</v>
      </c>
      <c r="C5" s="245">
        <f>Inputs!C6</f>
        <v>45606</v>
      </c>
      <c r="D5" s="246"/>
      <c r="E5" s="34"/>
      <c r="F5" s="35" t="s">
        <v>102</v>
      </c>
      <c r="G5" s="239">
        <f>G3*G4/1000000</f>
        <v>175521.447732</v>
      </c>
      <c r="H5" s="239"/>
      <c r="I5" s="38"/>
      <c r="J5" s="28"/>
    </row>
    <row r="6" spans="1:10" ht="15.75" customHeight="1" x14ac:dyDescent="0.4">
      <c r="B6" s="87" t="s">
        <v>4</v>
      </c>
      <c r="C6" s="192">
        <f>Inputs!C7</f>
        <v>8</v>
      </c>
      <c r="D6" s="193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40" t="str">
        <f>Inputs!C11</f>
        <v>HKD</v>
      </c>
      <c r="H6" s="240"/>
      <c r="I6" s="38"/>
    </row>
    <row r="7" spans="1:10" ht="15.75" customHeight="1" x14ac:dyDescent="0.4">
      <c r="B7" s="86" t="s">
        <v>209</v>
      </c>
      <c r="C7" s="194" t="str">
        <f>Inputs!C8</f>
        <v>Y</v>
      </c>
      <c r="D7" s="194" t="str">
        <f>Inputs!C9</f>
        <v>C0014</v>
      </c>
      <c r="E7" s="87"/>
      <c r="F7" s="35" t="s">
        <v>6</v>
      </c>
      <c r="G7" s="134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40" t="s">
        <v>207</v>
      </c>
      <c r="F9" s="144" t="s">
        <v>201</v>
      </c>
    </row>
    <row r="10" spans="1:10" ht="15.75" customHeight="1" x14ac:dyDescent="0.4">
      <c r="B10" s="1" t="s">
        <v>190</v>
      </c>
      <c r="C10" s="178">
        <v>4.2099999999999999E-2</v>
      </c>
      <c r="F10" s="111" t="s">
        <v>198</v>
      </c>
    </row>
    <row r="11" spans="1:10" ht="15.75" customHeight="1" thickBot="1" x14ac:dyDescent="0.45">
      <c r="B11" s="123" t="s">
        <v>194</v>
      </c>
      <c r="C11" s="179">
        <v>5.3099999999999994E-2</v>
      </c>
      <c r="D11" s="138" t="s">
        <v>205</v>
      </c>
      <c r="F11" s="111" t="s">
        <v>192</v>
      </c>
    </row>
    <row r="12" spans="1:10" ht="15.75" customHeight="1" thickTop="1" x14ac:dyDescent="0.4">
      <c r="B12" s="87" t="s">
        <v>142</v>
      </c>
      <c r="C12" s="180">
        <v>0.06</v>
      </c>
      <c r="D12" s="178">
        <v>7.0000000000000007E-2</v>
      </c>
      <c r="F12" s="111"/>
    </row>
    <row r="13" spans="1:10" ht="15.75" customHeight="1" x14ac:dyDescent="0.4"/>
    <row r="14" spans="1:10" ht="15.75" customHeight="1" x14ac:dyDescent="0.4">
      <c r="B14" s="1" t="s">
        <v>191</v>
      </c>
      <c r="C14" s="178">
        <v>2.1309999999999999E-2</v>
      </c>
      <c r="F14" s="111" t="s">
        <v>197</v>
      </c>
    </row>
    <row r="15" spans="1:10" ht="15.75" customHeight="1" x14ac:dyDescent="0.4">
      <c r="B15" s="1" t="s">
        <v>202</v>
      </c>
      <c r="C15" s="178">
        <v>6.5000000000000002E-2</v>
      </c>
      <c r="F15" s="111" t="s">
        <v>195</v>
      </c>
    </row>
    <row r="16" spans="1:10" ht="15.75" customHeight="1" thickBot="1" x14ac:dyDescent="0.45">
      <c r="B16" s="123" t="s">
        <v>203</v>
      </c>
      <c r="C16" s="179">
        <v>0.16</v>
      </c>
      <c r="D16" s="145" t="s">
        <v>206</v>
      </c>
      <c r="F16" s="111" t="s">
        <v>193</v>
      </c>
    </row>
    <row r="17" spans="1:8" ht="15.75" customHeight="1" thickTop="1" x14ac:dyDescent="0.4">
      <c r="B17" s="87" t="s">
        <v>196</v>
      </c>
      <c r="C17" s="181">
        <v>0.08</v>
      </c>
      <c r="D17" s="182"/>
    </row>
    <row r="18" spans="1:8" ht="15.75" customHeight="1" x14ac:dyDescent="0.4"/>
    <row r="19" spans="1:8" ht="15.75" customHeight="1" x14ac:dyDescent="0.4">
      <c r="B19" s="143" t="s">
        <v>199</v>
      </c>
      <c r="C19" s="136" t="s">
        <v>52</v>
      </c>
      <c r="D19" s="87"/>
      <c r="E19" s="87"/>
      <c r="F19" s="143" t="s">
        <v>233</v>
      </c>
      <c r="G19" s="87"/>
      <c r="H19" s="87"/>
    </row>
    <row r="20" spans="1:8" ht="15.75" customHeight="1" x14ac:dyDescent="0.4">
      <c r="B20" s="138" t="s">
        <v>181</v>
      </c>
      <c r="C20" s="177">
        <f>Fin_Analysis!I75</f>
        <v>4.1966617135767562E-2</v>
      </c>
      <c r="F20" s="87" t="s">
        <v>232</v>
      </c>
      <c r="G20" s="178">
        <v>0.15</v>
      </c>
    </row>
    <row r="21" spans="1:8" ht="15.75" customHeight="1" x14ac:dyDescent="0.4">
      <c r="B21" s="138" t="s">
        <v>182</v>
      </c>
      <c r="C21" s="177">
        <f>Fin_Analysis!I77</f>
        <v>0.2109727772407923</v>
      </c>
      <c r="F21" s="87"/>
      <c r="G21" s="29"/>
    </row>
    <row r="22" spans="1:8" ht="15.75" customHeight="1" x14ac:dyDescent="0.4">
      <c r="B22" s="138" t="s">
        <v>183</v>
      </c>
      <c r="C22" s="177">
        <f>Fin_Analysis!I79</f>
        <v>0.39159225009737869</v>
      </c>
      <c r="F22" s="143" t="s">
        <v>200</v>
      </c>
    </row>
    <row r="23" spans="1:8" ht="15.75" customHeight="1" x14ac:dyDescent="0.4">
      <c r="B23" s="138" t="s">
        <v>184</v>
      </c>
      <c r="C23" s="177">
        <f>Fin_Analysis!I80</f>
        <v>0</v>
      </c>
      <c r="F23" s="141" t="s">
        <v>204</v>
      </c>
      <c r="G23" s="183" t="e">
        <f>G3/(Data!C36*Data!C4/Common_Shares*Exchange_Rate)</f>
        <v>#DIV/0!</v>
      </c>
    </row>
    <row r="24" spans="1:8" ht="15.75" customHeight="1" x14ac:dyDescent="0.4">
      <c r="B24" s="138" t="s">
        <v>185</v>
      </c>
      <c r="C24" s="177">
        <f>Fin_Analysis!I81</f>
        <v>0</v>
      </c>
      <c r="F24" s="141" t="s">
        <v>189</v>
      </c>
      <c r="G24" s="184">
        <f>(Fin_Analysis!H86*G7)/G3</f>
        <v>0.10739200390359734</v>
      </c>
    </row>
    <row r="25" spans="1:8" ht="15.75" customHeight="1" x14ac:dyDescent="0.4">
      <c r="B25" s="138" t="s">
        <v>208</v>
      </c>
      <c r="C25" s="177">
        <f>Fin_Analysis!I82</f>
        <v>0</v>
      </c>
      <c r="F25" s="141" t="s">
        <v>188</v>
      </c>
      <c r="G25" s="177">
        <f>Fin_Analysis!I88</f>
        <v>0.67902869264069265</v>
      </c>
    </row>
    <row r="26" spans="1:8" ht="15.75" customHeight="1" x14ac:dyDescent="0.4">
      <c r="B26" s="139" t="s">
        <v>187</v>
      </c>
      <c r="C26" s="177">
        <f>Fin_Analysis!I83</f>
        <v>0.35546835552606143</v>
      </c>
      <c r="F26" s="142" t="s">
        <v>210</v>
      </c>
      <c r="G26" s="184">
        <f>Fin_Analysis!H88*Exchange_Rate/G3</f>
        <v>7.2922252010723859E-2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178</v>
      </c>
      <c r="D28" s="43" t="s">
        <v>179</v>
      </c>
      <c r="E28" s="58"/>
      <c r="F28" s="53" t="str">
        <f>Fin_Analysis!F96</f>
        <v>Pessimistic Case</v>
      </c>
      <c r="G28" s="237" t="str">
        <f>Fin_Analysis!H96</f>
        <v>Base Case</v>
      </c>
      <c r="H28" s="237"/>
    </row>
    <row r="29" spans="1:8" ht="15.75" customHeight="1" x14ac:dyDescent="0.4">
      <c r="B29" s="87" t="s">
        <v>180</v>
      </c>
      <c r="C29" s="131">
        <f>IF(Fin_Analysis!C108="Profit",Fin_Analysis!F100,IF(Fin_Analysis!C108="Dividend",Fin_Analysis!E103,Fin_Analysis!E106))</f>
        <v>68.669349501479132</v>
      </c>
      <c r="D29" s="130">
        <f>IF(Fin_Analysis!C108="Profit",Fin_Analysis!I100,IF(Fin_Analysis!C108="Dividend",Fin_Analysis!I103,Fin_Analysis!I106))</f>
        <v>123.09580696518756</v>
      </c>
      <c r="E29" s="87"/>
      <c r="F29" s="132">
        <f>IF(Fin_Analysis!C108="Profit",Fin_Analysis!F100,IF(Fin_Analysis!C108="Dividend",Fin_Analysis!F103,Fin_Analysis!F106))</f>
        <v>98.476645572150048</v>
      </c>
      <c r="G29" s="238">
        <f>IF(Fin_Analysis!C108="Profit",Fin_Analysis!H100,IF(Fin_Analysis!C108="Dividend",Fin_Analysis!H103,Fin_Analysis!H106))</f>
        <v>98.476645572150048</v>
      </c>
      <c r="H29" s="238"/>
    </row>
    <row r="30" spans="1:8" ht="15.75" customHeight="1" x14ac:dyDescent="0.4"/>
    <row r="31" spans="1:8" ht="15.75" customHeight="1" x14ac:dyDescent="0.4"/>
    <row r="32" spans="1:8" ht="15.75" customHeight="1" x14ac:dyDescent="0.4"/>
    <row r="33" ht="15.75" customHeight="1" x14ac:dyDescent="0.4"/>
    <row r="34" ht="15.75" customHeight="1" x14ac:dyDescent="0.4"/>
    <row r="35" ht="15.75" customHeight="1" x14ac:dyDescent="0.4"/>
    <row r="36" ht="15.75" customHeight="1" x14ac:dyDescent="0.4"/>
    <row r="37" ht="15.75" customHeight="1" x14ac:dyDescent="0.4"/>
    <row r="38" ht="15.75" customHeight="1" x14ac:dyDescent="0.4"/>
    <row r="39" ht="15.75" customHeight="1" x14ac:dyDescent="0.4"/>
    <row r="40" ht="15.75" customHeight="1" x14ac:dyDescent="0.4"/>
    <row r="41" ht="15.75" customHeight="1" x14ac:dyDescent="0.4"/>
    <row r="42" ht="15.75" customHeight="1" x14ac:dyDescent="0.4"/>
    <row r="43" ht="15.75" customHeight="1" x14ac:dyDescent="0.4"/>
    <row r="44" ht="15.75" customHeight="1" x14ac:dyDescent="0.4"/>
    <row r="45" ht="15.75" customHeight="1" x14ac:dyDescent="0.4"/>
    <row r="46" ht="15.75" customHeight="1" x14ac:dyDescent="0.4"/>
    <row r="47" ht="15.75" customHeight="1" x14ac:dyDescent="0.4"/>
    <row r="48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7" priority="5">
      <formula>LEN(TRIM(C11))=0</formula>
    </cfRule>
  </conditionalFormatting>
  <conditionalFormatting sqref="D12">
    <cfRule type="containsBlanks" dxfId="16" priority="3">
      <formula>LEN(TRIM(D12))=0</formula>
    </cfRule>
  </conditionalFormatting>
  <conditionalFormatting sqref="D17">
    <cfRule type="containsBlanks" dxfId="15" priority="2">
      <formula>LEN(TRIM(D17))=0</formula>
    </cfRule>
  </conditionalFormatting>
  <conditionalFormatting sqref="E28">
    <cfRule type="cellIs" dxfId="14" priority="41" operator="greaterThan">
      <formula>#REF!</formula>
    </cfRule>
  </conditionalFormatting>
  <conditionalFormatting sqref="G20">
    <cfRule type="containsBlanks" dxfId="13" priority="1">
      <formula>LEN(TRIM(G20))=0</formula>
    </cfRule>
  </conditionalFormatting>
  <dataValidations count="2">
    <dataValidation type="list" allowBlank="1" sqref="G6" xr:uid="{00000000-0002-0000-0000-000001000000}">
      <formula1>"HKD,USD,CNY,EUR"</formula1>
    </dataValidation>
    <dataValidation type="list" allowBlank="1" showInputMessage="1" showErrorMessage="1" sqref="C7" xr:uid="{3894A86A-E1B4-A843-BE8E-14D1CE0AE26E}">
      <formula1>"Y, N"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87"/>
  <sheetViews>
    <sheetView showGridLines="0" zoomScaleNormal="100" workbookViewId="0">
      <selection activeCell="C13" sqref="C13"/>
    </sheetView>
  </sheetViews>
  <sheetFormatPr defaultRowHeight="12.75" x14ac:dyDescent="0.35"/>
  <cols>
    <col min="1" max="1" width="3.06640625" customWidth="1"/>
    <col min="2" max="2" width="27.33203125" customWidth="1"/>
    <col min="3" max="13" width="24.6640625" customWidth="1"/>
  </cols>
  <sheetData>
    <row r="2" spans="1:6" ht="15" x14ac:dyDescent="0.4">
      <c r="A2" s="5"/>
      <c r="B2" s="6" t="s">
        <v>236</v>
      </c>
    </row>
    <row r="4" spans="1:6" ht="13.9" x14ac:dyDescent="0.4">
      <c r="B4" s="142" t="s">
        <v>211</v>
      </c>
      <c r="C4" s="195" t="s">
        <v>246</v>
      </c>
      <c r="F4" s="201" t="s">
        <v>227</v>
      </c>
    </row>
    <row r="5" spans="1:6" ht="15" x14ac:dyDescent="0.5">
      <c r="B5" s="142" t="s">
        <v>212</v>
      </c>
      <c r="C5" s="236" t="s">
        <v>247</v>
      </c>
      <c r="E5" s="231">
        <f>C18</f>
        <v>45291</v>
      </c>
      <c r="F5" s="232">
        <f>3.2+1.2*3</f>
        <v>6.8</v>
      </c>
    </row>
    <row r="6" spans="1:6" ht="13.9" x14ac:dyDescent="0.4">
      <c r="B6" s="142" t="s">
        <v>175</v>
      </c>
      <c r="C6" s="196">
        <v>45606</v>
      </c>
      <c r="E6" s="233" t="s">
        <v>225</v>
      </c>
      <c r="F6" s="232">
        <f>F5</f>
        <v>6.8</v>
      </c>
    </row>
    <row r="7" spans="1:6" ht="13.9" x14ac:dyDescent="0.4">
      <c r="B7" s="141" t="s">
        <v>4</v>
      </c>
      <c r="C7" s="197">
        <v>8</v>
      </c>
    </row>
    <row r="8" spans="1:6" ht="13.9" x14ac:dyDescent="0.4">
      <c r="B8" s="141" t="s">
        <v>237</v>
      </c>
      <c r="C8" s="198" t="s">
        <v>46</v>
      </c>
    </row>
    <row r="9" spans="1:6" ht="13.9" x14ac:dyDescent="0.4">
      <c r="B9" s="141" t="s">
        <v>238</v>
      </c>
      <c r="C9" s="199" t="s">
        <v>244</v>
      </c>
    </row>
    <row r="10" spans="1:6" ht="13.9" x14ac:dyDescent="0.4">
      <c r="B10" s="141" t="s">
        <v>239</v>
      </c>
      <c r="C10" s="200">
        <v>1882267536</v>
      </c>
    </row>
    <row r="11" spans="1:6" ht="13.9" x14ac:dyDescent="0.4">
      <c r="B11" s="141" t="s">
        <v>240</v>
      </c>
      <c r="C11" s="199" t="s">
        <v>2</v>
      </c>
    </row>
    <row r="12" spans="1:6" ht="13.9" x14ac:dyDescent="0.4">
      <c r="B12" s="227" t="s">
        <v>10</v>
      </c>
      <c r="C12" s="228">
        <v>45291</v>
      </c>
    </row>
    <row r="13" spans="1:6" ht="13.9" x14ac:dyDescent="0.4">
      <c r="B13" s="227" t="s">
        <v>11</v>
      </c>
      <c r="C13" s="229">
        <v>1000000</v>
      </c>
    </row>
    <row r="14" spans="1:6" ht="13.9" x14ac:dyDescent="0.4">
      <c r="B14" s="227" t="s">
        <v>242</v>
      </c>
      <c r="C14" s="228">
        <v>45473</v>
      </c>
    </row>
    <row r="15" spans="1:6" ht="13.9" x14ac:dyDescent="0.4">
      <c r="B15" s="227" t="s">
        <v>241</v>
      </c>
      <c r="C15" s="182" t="s">
        <v>205</v>
      </c>
    </row>
    <row r="16" spans="1:6" ht="13.9" x14ac:dyDescent="0.4">
      <c r="B16" s="234" t="s">
        <v>98</v>
      </c>
      <c r="C16" s="235">
        <v>0.23499999999999999</v>
      </c>
    </row>
    <row r="18" spans="2:13" ht="13.9" x14ac:dyDescent="0.4">
      <c r="B18" s="116" t="s">
        <v>144</v>
      </c>
      <c r="C18" s="48">
        <f>C12</f>
        <v>45291</v>
      </c>
      <c r="D18" s="49">
        <f>EOMONTH(EDATE(C18,-12),0)</f>
        <v>44926</v>
      </c>
      <c r="E18" s="49">
        <f t="shared" ref="E18:M18" si="0">EOMONTH(EDATE(D18,-12),0)</f>
        <v>44561</v>
      </c>
      <c r="F18" s="49">
        <f t="shared" si="0"/>
        <v>44196</v>
      </c>
      <c r="G18" s="49">
        <f t="shared" si="0"/>
        <v>43830</v>
      </c>
      <c r="H18" s="49">
        <f t="shared" si="0"/>
        <v>43465</v>
      </c>
      <c r="I18" s="49">
        <f t="shared" si="0"/>
        <v>43100</v>
      </c>
      <c r="J18" s="49">
        <f t="shared" si="0"/>
        <v>42735</v>
      </c>
      <c r="K18" s="49">
        <f t="shared" si="0"/>
        <v>42369</v>
      </c>
      <c r="L18" s="49">
        <f t="shared" si="0"/>
        <v>42004</v>
      </c>
      <c r="M18" s="49">
        <f t="shared" si="0"/>
        <v>41639</v>
      </c>
    </row>
    <row r="19" spans="2:13" ht="13.9" x14ac:dyDescent="0.4">
      <c r="B19" s="94" t="s">
        <v>12</v>
      </c>
      <c r="C19" s="152">
        <v>69317</v>
      </c>
      <c r="D19" s="152">
        <v>43948</v>
      </c>
      <c r="E19" s="152"/>
      <c r="F19" s="152"/>
      <c r="G19" s="152"/>
      <c r="H19" s="152"/>
      <c r="I19" s="152"/>
      <c r="J19" s="152"/>
      <c r="K19" s="152"/>
      <c r="L19" s="152"/>
      <c r="M19" s="152"/>
    </row>
    <row r="20" spans="2:13" ht="13.9" x14ac:dyDescent="0.4">
      <c r="B20" s="97" t="s">
        <v>109</v>
      </c>
      <c r="C20" s="153">
        <v>2909</v>
      </c>
      <c r="D20" s="153">
        <v>2280</v>
      </c>
      <c r="E20" s="153"/>
      <c r="F20" s="153"/>
      <c r="G20" s="153"/>
      <c r="H20" s="153"/>
      <c r="I20" s="153"/>
      <c r="J20" s="153"/>
      <c r="K20" s="153"/>
      <c r="L20" s="153"/>
      <c r="M20" s="153"/>
    </row>
    <row r="21" spans="2:13" ht="13.9" x14ac:dyDescent="0.4">
      <c r="B21" s="97" t="s">
        <v>107</v>
      </c>
      <c r="C21" s="153">
        <v>14624</v>
      </c>
      <c r="D21" s="153">
        <v>13795</v>
      </c>
      <c r="E21" s="153"/>
      <c r="F21" s="153"/>
      <c r="G21" s="153"/>
      <c r="H21" s="153"/>
      <c r="I21" s="153"/>
      <c r="J21" s="153"/>
      <c r="K21" s="153"/>
      <c r="L21" s="153"/>
      <c r="M21" s="153"/>
    </row>
    <row r="22" spans="2:13" ht="13.9" x14ac:dyDescent="0.4">
      <c r="B22" s="97" t="s">
        <v>108</v>
      </c>
      <c r="C22" s="153"/>
      <c r="D22" s="153"/>
      <c r="E22" s="153"/>
      <c r="F22" s="153"/>
      <c r="G22" s="153"/>
      <c r="H22" s="153"/>
      <c r="I22" s="153"/>
      <c r="J22" s="153"/>
      <c r="K22" s="153"/>
      <c r="L22" s="153"/>
      <c r="M22" s="153"/>
    </row>
    <row r="23" spans="2:13" ht="13.9" x14ac:dyDescent="0.4">
      <c r="B23" s="97" t="s">
        <v>110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</row>
    <row r="24" spans="2:13" ht="13.9" x14ac:dyDescent="0.4">
      <c r="B24" s="97" t="s">
        <v>111</v>
      </c>
      <c r="C24" s="153"/>
      <c r="D24" s="153"/>
      <c r="E24" s="153"/>
      <c r="F24" s="153"/>
      <c r="G24" s="153"/>
      <c r="H24" s="153"/>
      <c r="I24" s="153"/>
      <c r="J24" s="153"/>
      <c r="K24" s="153"/>
      <c r="L24" s="153"/>
      <c r="M24" s="153"/>
    </row>
    <row r="25" spans="2:13" ht="13.9" x14ac:dyDescent="0.4">
      <c r="B25" s="97" t="s">
        <v>113</v>
      </c>
      <c r="C25" s="153"/>
      <c r="D25" s="153"/>
      <c r="E25" s="153"/>
      <c r="F25" s="153"/>
      <c r="G25" s="153"/>
      <c r="H25" s="153"/>
      <c r="I25" s="153"/>
      <c r="J25" s="153"/>
      <c r="K25" s="153"/>
      <c r="L25" s="153"/>
      <c r="M25" s="153"/>
    </row>
    <row r="26" spans="2:13" ht="13.9" x14ac:dyDescent="0.4">
      <c r="B26" s="97" t="s">
        <v>129</v>
      </c>
      <c r="C26" s="153">
        <v>27144</v>
      </c>
      <c r="D26" s="153">
        <v>9231</v>
      </c>
      <c r="E26" s="153"/>
      <c r="F26" s="153"/>
      <c r="G26" s="153"/>
      <c r="H26" s="153"/>
      <c r="I26" s="153"/>
      <c r="J26" s="153"/>
      <c r="K26" s="153"/>
      <c r="L26" s="153"/>
      <c r="M26" s="153"/>
    </row>
    <row r="27" spans="2:13" ht="13.9" x14ac:dyDescent="0.4">
      <c r="B27" s="99" t="s">
        <v>114</v>
      </c>
      <c r="C27" s="153">
        <v>-10</v>
      </c>
      <c r="D27" s="153">
        <v>-14</v>
      </c>
      <c r="E27" s="153"/>
      <c r="F27" s="153"/>
      <c r="G27" s="153"/>
      <c r="H27" s="153"/>
      <c r="I27" s="153"/>
      <c r="J27" s="153"/>
      <c r="K27" s="153"/>
      <c r="L27" s="153"/>
      <c r="M27" s="153"/>
    </row>
    <row r="28" spans="2:13" ht="13.9" x14ac:dyDescent="0.4">
      <c r="B28" s="94" t="s">
        <v>15</v>
      </c>
      <c r="C28" s="226"/>
      <c r="D28" s="153"/>
      <c r="E28" s="153"/>
      <c r="F28" s="153"/>
      <c r="G28" s="153"/>
      <c r="H28" s="153"/>
      <c r="I28" s="153"/>
      <c r="J28" s="153"/>
      <c r="K28" s="153"/>
      <c r="L28" s="153"/>
      <c r="M28" s="153"/>
    </row>
    <row r="29" spans="2:13" ht="13.9" x14ac:dyDescent="0.4">
      <c r="B29" s="94" t="s">
        <v>121</v>
      </c>
      <c r="C29" s="226"/>
      <c r="D29" s="153"/>
      <c r="E29" s="153"/>
      <c r="F29" s="153"/>
      <c r="G29" s="153"/>
      <c r="H29" s="153"/>
      <c r="I29" s="153"/>
      <c r="J29" s="153"/>
      <c r="K29" s="153"/>
      <c r="L29" s="153"/>
      <c r="M29" s="153"/>
    </row>
    <row r="30" spans="2:13" ht="13.9" x14ac:dyDescent="0.4">
      <c r="B30" s="94" t="s">
        <v>159</v>
      </c>
      <c r="C30" s="226"/>
      <c r="D30" s="153"/>
      <c r="E30" s="153"/>
      <c r="F30" s="153"/>
      <c r="G30" s="153"/>
      <c r="H30" s="153"/>
      <c r="I30" s="153"/>
      <c r="J30" s="153"/>
      <c r="K30" s="153"/>
      <c r="L30" s="153"/>
      <c r="M30" s="153"/>
    </row>
    <row r="31" spans="2:13" ht="13.9" x14ac:dyDescent="0.4">
      <c r="B31" s="94" t="s">
        <v>16</v>
      </c>
      <c r="C31" s="226"/>
      <c r="D31" s="153"/>
      <c r="E31" s="153"/>
      <c r="F31" s="153"/>
      <c r="G31" s="153"/>
      <c r="H31" s="153"/>
      <c r="I31" s="153"/>
      <c r="J31" s="153"/>
      <c r="K31" s="153"/>
      <c r="L31" s="153"/>
      <c r="M31" s="153"/>
    </row>
    <row r="32" spans="2:13" ht="13.9" x14ac:dyDescent="0.4">
      <c r="B32" s="94" t="s">
        <v>120</v>
      </c>
      <c r="C32" s="226"/>
      <c r="D32" s="153"/>
      <c r="E32" s="153"/>
      <c r="F32" s="153"/>
      <c r="G32" s="153"/>
      <c r="H32" s="153"/>
      <c r="I32" s="153"/>
      <c r="J32" s="153"/>
      <c r="K32" s="153"/>
      <c r="L32" s="153"/>
      <c r="M32" s="153"/>
    </row>
    <row r="33" spans="2:13" ht="13.9" x14ac:dyDescent="0.4">
      <c r="B33" s="94" t="s">
        <v>17</v>
      </c>
      <c r="C33" s="226"/>
      <c r="D33" s="153"/>
      <c r="E33" s="153"/>
      <c r="F33" s="153"/>
      <c r="G33" s="153"/>
      <c r="H33" s="153"/>
      <c r="I33" s="153"/>
      <c r="J33" s="153"/>
      <c r="K33" s="153"/>
      <c r="L33" s="153"/>
      <c r="M33" s="153"/>
    </row>
    <row r="34" spans="2:13" ht="13.9" x14ac:dyDescent="0.4">
      <c r="B34" s="94" t="s">
        <v>18</v>
      </c>
      <c r="C34" s="226"/>
      <c r="D34" s="153"/>
      <c r="E34" s="153"/>
      <c r="F34" s="153"/>
      <c r="G34" s="153"/>
      <c r="H34" s="153"/>
      <c r="I34" s="153"/>
      <c r="J34" s="153"/>
      <c r="K34" s="153"/>
      <c r="L34" s="153"/>
      <c r="M34" s="153"/>
    </row>
    <row r="35" spans="2:13" ht="13.9" x14ac:dyDescent="0.4">
      <c r="B35" s="94" t="s">
        <v>148</v>
      </c>
      <c r="C35" s="226"/>
      <c r="D35" s="153"/>
      <c r="E35" s="153"/>
      <c r="F35" s="153"/>
      <c r="G35" s="153"/>
      <c r="H35" s="153"/>
      <c r="I35" s="153"/>
      <c r="J35" s="153"/>
      <c r="K35" s="153"/>
      <c r="L35" s="153"/>
      <c r="M35" s="153"/>
    </row>
    <row r="36" spans="2:13" ht="13.9" x14ac:dyDescent="0.4">
      <c r="B36" s="94" t="s">
        <v>149</v>
      </c>
      <c r="C36" s="226"/>
      <c r="D36" s="153"/>
      <c r="E36" s="153"/>
      <c r="F36" s="153"/>
      <c r="G36" s="153"/>
      <c r="H36" s="153"/>
      <c r="I36" s="153"/>
      <c r="J36" s="153"/>
      <c r="K36" s="153"/>
      <c r="L36" s="153"/>
      <c r="M36" s="153"/>
    </row>
    <row r="37" spans="2:13" ht="13.9" x14ac:dyDescent="0.4">
      <c r="B37" s="94" t="s">
        <v>147</v>
      </c>
      <c r="C37" s="226"/>
      <c r="D37" s="153"/>
      <c r="E37" s="153"/>
      <c r="F37" s="153"/>
      <c r="G37" s="153"/>
      <c r="H37" s="153"/>
      <c r="I37" s="153"/>
      <c r="J37" s="153"/>
      <c r="K37" s="153"/>
      <c r="L37" s="153"/>
      <c r="M37" s="153"/>
    </row>
    <row r="39" spans="2:13" ht="13.5" x14ac:dyDescent="0.35">
      <c r="B39" s="203" t="s">
        <v>33</v>
      </c>
      <c r="C39" s="201" t="s">
        <v>34</v>
      </c>
      <c r="D39" s="201" t="s">
        <v>213</v>
      </c>
    </row>
    <row r="40" spans="2:13" ht="13.9" x14ac:dyDescent="0.4">
      <c r="B40" s="3" t="s">
        <v>38</v>
      </c>
      <c r="C40" s="59"/>
      <c r="D40" s="60">
        <v>1</v>
      </c>
    </row>
    <row r="41" spans="2:13" ht="13.9" x14ac:dyDescent="0.4">
      <c r="B41" s="1" t="s">
        <v>146</v>
      </c>
      <c r="C41" s="59"/>
      <c r="D41" s="60">
        <v>0.95</v>
      </c>
    </row>
    <row r="42" spans="2:13" ht="13.9" x14ac:dyDescent="0.4">
      <c r="B42" s="3" t="s">
        <v>121</v>
      </c>
      <c r="C42" s="59"/>
      <c r="D42" s="60">
        <v>0.8</v>
      </c>
    </row>
    <row r="43" spans="2:13" ht="13.9" x14ac:dyDescent="0.4">
      <c r="B43" s="3" t="s">
        <v>42</v>
      </c>
      <c r="C43" s="59"/>
      <c r="D43" s="60">
        <v>0.3</v>
      </c>
    </row>
    <row r="44" spans="2:13" ht="13.9" x14ac:dyDescent="0.4">
      <c r="B44" s="3" t="s">
        <v>44</v>
      </c>
      <c r="C44" s="59"/>
      <c r="D44" s="60">
        <v>0.05</v>
      </c>
    </row>
    <row r="45" spans="2:13" ht="13.9" x14ac:dyDescent="0.4">
      <c r="B45" s="1" t="s">
        <v>170</v>
      </c>
      <c r="C45" s="59"/>
      <c r="D45" s="60">
        <v>0.5</v>
      </c>
    </row>
    <row r="46" spans="2:13" ht="13.9" x14ac:dyDescent="0.4">
      <c r="B46" s="3" t="s">
        <v>122</v>
      </c>
      <c r="C46" s="59"/>
      <c r="D46" s="60">
        <v>0.1</v>
      </c>
    </row>
    <row r="47" spans="2:13" ht="13.9" x14ac:dyDescent="0.4">
      <c r="B47" s="3" t="s">
        <v>47</v>
      </c>
      <c r="C47" s="59"/>
      <c r="D47" s="60">
        <v>0.5</v>
      </c>
    </row>
    <row r="48" spans="2:13" ht="13.9" x14ac:dyDescent="0.4">
      <c r="B48" s="1" t="s">
        <v>48</v>
      </c>
      <c r="C48" s="59"/>
      <c r="D48" s="60">
        <v>0.75</v>
      </c>
    </row>
    <row r="49" spans="2:4" ht="13.9" x14ac:dyDescent="0.4">
      <c r="B49" s="3" t="s">
        <v>124</v>
      </c>
      <c r="C49" s="59"/>
      <c r="D49" s="60">
        <v>0.6</v>
      </c>
    </row>
    <row r="50" spans="2:4" ht="13.9" x14ac:dyDescent="0.4">
      <c r="B50" s="3" t="s">
        <v>50</v>
      </c>
      <c r="C50" s="59"/>
      <c r="D50" s="60">
        <v>0.95</v>
      </c>
    </row>
    <row r="51" spans="2:4" ht="13.9" x14ac:dyDescent="0.4">
      <c r="B51" s="35" t="s">
        <v>51</v>
      </c>
      <c r="C51" s="121"/>
      <c r="D51" s="202">
        <v>0.2</v>
      </c>
    </row>
    <row r="52" spans="2:4" ht="13.9" x14ac:dyDescent="0.4">
      <c r="B52" s="3" t="s">
        <v>61</v>
      </c>
      <c r="C52" s="59"/>
      <c r="D52" s="60">
        <v>0.95</v>
      </c>
    </row>
    <row r="53" spans="2:4" ht="13.9" x14ac:dyDescent="0.4">
      <c r="B53" s="3" t="s">
        <v>63</v>
      </c>
      <c r="C53" s="59"/>
      <c r="D53" s="60">
        <v>0.5</v>
      </c>
    </row>
    <row r="54" spans="2:4" ht="13.9" x14ac:dyDescent="0.4">
      <c r="B54" s="3" t="s">
        <v>65</v>
      </c>
      <c r="C54" s="59"/>
      <c r="D54" s="60">
        <v>0.4</v>
      </c>
    </row>
    <row r="55" spans="2:4" ht="13.9" x14ac:dyDescent="0.4">
      <c r="B55" s="1" t="s">
        <v>171</v>
      </c>
      <c r="C55" s="59"/>
      <c r="D55" s="60">
        <v>0.5</v>
      </c>
    </row>
    <row r="56" spans="2:4" ht="13.9" x14ac:dyDescent="0.4">
      <c r="B56" s="3" t="s">
        <v>68</v>
      </c>
      <c r="C56" s="59"/>
      <c r="D56" s="60">
        <v>0</v>
      </c>
    </row>
    <row r="57" spans="2:4" ht="13.9" x14ac:dyDescent="0.4">
      <c r="B57" s="3" t="s">
        <v>70</v>
      </c>
      <c r="C57" s="59"/>
      <c r="D57" s="60">
        <v>0.1</v>
      </c>
    </row>
    <row r="58" spans="2:4" ht="13.9" x14ac:dyDescent="0.4">
      <c r="B58" s="3" t="s">
        <v>72</v>
      </c>
      <c r="C58" s="59"/>
      <c r="D58" s="60">
        <v>0.2</v>
      </c>
    </row>
    <row r="59" spans="2:4" ht="13.9" x14ac:dyDescent="0.4">
      <c r="B59" s="1" t="s">
        <v>49</v>
      </c>
      <c r="C59" s="59"/>
      <c r="D59" s="60">
        <v>0.05</v>
      </c>
    </row>
    <row r="60" spans="2:4" ht="13.9" x14ac:dyDescent="0.4">
      <c r="B60" s="3" t="s">
        <v>123</v>
      </c>
      <c r="C60" s="59"/>
      <c r="D60" s="60">
        <v>0.1</v>
      </c>
    </row>
    <row r="61" spans="2:4" ht="13.9" x14ac:dyDescent="0.4">
      <c r="B61" s="3" t="s">
        <v>73</v>
      </c>
      <c r="C61" s="59"/>
      <c r="D61" s="60">
        <v>0.05</v>
      </c>
    </row>
    <row r="62" spans="2:4" ht="13.9" x14ac:dyDescent="0.4">
      <c r="B62" s="3" t="s">
        <v>74</v>
      </c>
      <c r="C62" s="59"/>
      <c r="D62" s="60">
        <v>0.05</v>
      </c>
    </row>
    <row r="63" spans="2:4" ht="13.9" x14ac:dyDescent="0.4">
      <c r="B63" s="3" t="s">
        <v>75</v>
      </c>
      <c r="C63" s="59"/>
      <c r="D63" s="60">
        <v>0.95</v>
      </c>
    </row>
    <row r="64" spans="2:4" ht="13.9" x14ac:dyDescent="0.4">
      <c r="B64" s="3" t="s">
        <v>76</v>
      </c>
      <c r="C64" s="59"/>
      <c r="D64" s="60">
        <v>0</v>
      </c>
    </row>
    <row r="65" spans="2:3" ht="13.5" x14ac:dyDescent="0.35">
      <c r="B65" s="203" t="s">
        <v>37</v>
      </c>
      <c r="C65" s="201"/>
    </row>
    <row r="66" spans="2:3" ht="13.9" x14ac:dyDescent="0.4">
      <c r="B66" s="3" t="s">
        <v>39</v>
      </c>
      <c r="C66" s="59"/>
    </row>
    <row r="67" spans="2:3" ht="13.9" x14ac:dyDescent="0.4">
      <c r="B67" s="3" t="s">
        <v>40</v>
      </c>
      <c r="C67" s="59"/>
    </row>
    <row r="68" spans="2:3" ht="13.9" x14ac:dyDescent="0.4">
      <c r="B68" s="3" t="s">
        <v>41</v>
      </c>
      <c r="C68" s="59"/>
    </row>
    <row r="69" spans="2:3" ht="13.9" x14ac:dyDescent="0.4">
      <c r="B69" s="86" t="s">
        <v>43</v>
      </c>
      <c r="C69" s="121"/>
    </row>
    <row r="70" spans="2:3" ht="14.25" thickBot="1" x14ac:dyDescent="0.45">
      <c r="B70" s="80" t="s">
        <v>16</v>
      </c>
      <c r="C70" s="83"/>
    </row>
    <row r="71" spans="2:3" ht="14.25" thickTop="1" x14ac:dyDescent="0.4">
      <c r="B71" s="3" t="s">
        <v>62</v>
      </c>
      <c r="C71" s="59"/>
    </row>
    <row r="72" spans="2:3" ht="13.9" x14ac:dyDescent="0.4">
      <c r="B72" s="3" t="s">
        <v>64</v>
      </c>
      <c r="C72" s="59"/>
    </row>
    <row r="73" spans="2:3" ht="13.9" x14ac:dyDescent="0.4">
      <c r="B73" s="3" t="s">
        <v>66</v>
      </c>
      <c r="C73" s="59"/>
    </row>
    <row r="74" spans="2:3" ht="13.9" x14ac:dyDescent="0.4">
      <c r="B74" s="86" t="s">
        <v>67</v>
      </c>
      <c r="C74" s="121"/>
    </row>
    <row r="75" spans="2:3" ht="14.25" thickBot="1" x14ac:dyDescent="0.45">
      <c r="B75" s="80" t="s">
        <v>85</v>
      </c>
      <c r="C75" s="83"/>
    </row>
    <row r="76" spans="2:3" ht="14.25" thickTop="1" x14ac:dyDescent="0.4">
      <c r="B76" s="73" t="s">
        <v>243</v>
      </c>
      <c r="C76" s="59"/>
    </row>
    <row r="77" spans="2:3" ht="13.9" x14ac:dyDescent="0.4">
      <c r="B77" s="20" t="s">
        <v>91</v>
      </c>
      <c r="C77" s="59"/>
    </row>
    <row r="78" spans="2:3" ht="13.9" x14ac:dyDescent="0.4">
      <c r="B78" s="20" t="s">
        <v>93</v>
      </c>
      <c r="C78" s="59"/>
    </row>
    <row r="81" spans="2:2" ht="13.9" x14ac:dyDescent="0.4">
      <c r="B81" s="20"/>
    </row>
    <row r="85" spans="2:2" ht="13.9" x14ac:dyDescent="0.4">
      <c r="B85" s="20"/>
    </row>
    <row r="86" spans="2:2" ht="13.9" x14ac:dyDescent="0.4">
      <c r="B86" s="20"/>
    </row>
    <row r="87" spans="2:2" ht="13.9" x14ac:dyDescent="0.4">
      <c r="B87" s="20"/>
    </row>
  </sheetData>
  <phoneticPr fontId="20" type="noConversion"/>
  <conditionalFormatting sqref="C16">
    <cfRule type="containsBlanks" dxfId="12" priority="1">
      <formula>LEN(TRIM(C16))=0</formula>
    </cfRule>
  </conditionalFormatting>
  <conditionalFormatting sqref="C19:M27 D28:M37">
    <cfRule type="containsBlanks" dxfId="11" priority="7">
      <formula>LEN(TRIM(C19))=0</formula>
    </cfRule>
  </conditionalFormatting>
  <conditionalFormatting sqref="F5:F6">
    <cfRule type="containsBlanks" dxfId="10" priority="2">
      <formula>LEN(TRIM(F5))=0</formula>
    </cfRule>
  </conditionalFormatting>
  <dataValidations count="4">
    <dataValidation type="list" allowBlank="1" showInputMessage="1" showErrorMessage="1" sqref="C8" xr:uid="{4F1A5CDA-569A-4509-AA2D-9CF95C6DB1A5}">
      <formula1>"Y,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34" zoomScaleNormal="100" workbookViewId="0">
      <pane xSplit="2" topLeftCell="C1" activePane="topRight" state="frozen"/>
      <selection activeCell="A4" sqref="A4"/>
      <selection pane="topRight" activeCell="C43" sqref="C43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51" t="s">
        <v>218</v>
      </c>
      <c r="F2" s="120" t="s">
        <v>221</v>
      </c>
      <c r="G2" s="151" t="s">
        <v>222</v>
      </c>
      <c r="H2" s="150" t="s">
        <v>223</v>
      </c>
      <c r="I2" s="7"/>
      <c r="J2" s="87"/>
      <c r="K2" s="7"/>
      <c r="L2" s="7"/>
      <c r="M2" s="7"/>
    </row>
    <row r="3" spans="1:14" ht="15.75" customHeight="1" x14ac:dyDescent="0.4">
      <c r="A3" s="4"/>
      <c r="B3" s="104" t="s">
        <v>10</v>
      </c>
      <c r="C3" s="210">
        <f>Inputs!C12</f>
        <v>45291</v>
      </c>
      <c r="E3" s="149" t="s">
        <v>219</v>
      </c>
      <c r="F3" s="85" t="str">
        <f>H19</f>
        <v/>
      </c>
      <c r="G3" s="85">
        <f>C19</f>
        <v>24640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4" t="s">
        <v>11</v>
      </c>
      <c r="C4" s="129">
        <f>Inputs!C13</f>
        <v>1000000</v>
      </c>
      <c r="D4" s="1" t="str">
        <f>Dashboard!G6</f>
        <v>HKD</v>
      </c>
      <c r="E4" s="149" t="s">
        <v>220</v>
      </c>
      <c r="F4" s="93" t="e">
        <f>(G3/F3)^(1/H3)-1</f>
        <v>#VALUE!</v>
      </c>
      <c r="J4" s="87"/>
    </row>
    <row r="5" spans="1:14" ht="15.75" customHeight="1" x14ac:dyDescent="0.4">
      <c r="A5" s="16"/>
      <c r="B5" s="116" t="s">
        <v>144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9">
        <f>IF(Inputs!C19=""," ",Inputs!C19)</f>
        <v>69317</v>
      </c>
      <c r="D6" s="209">
        <f>IF(Inputs!D19="","",Inputs!D19)</f>
        <v>43948</v>
      </c>
      <c r="E6" s="209" t="str">
        <f>IF(Inputs!E19="","",Inputs!E19)</f>
        <v/>
      </c>
      <c r="F6" s="209" t="str">
        <f>IF(Inputs!F19="","",Inputs!F19)</f>
        <v/>
      </c>
      <c r="G6" s="209" t="str">
        <f>IF(Inputs!G19="","",Inputs!G19)</f>
        <v/>
      </c>
      <c r="H6" s="209" t="str">
        <f>IF(Inputs!H19="","",Inputs!H19)</f>
        <v/>
      </c>
      <c r="I6" s="209" t="str">
        <f>IF(Inputs!I19="","",Inputs!I19)</f>
        <v/>
      </c>
      <c r="J6" s="209" t="str">
        <f>IF(Inputs!J19="","",Inputs!J19)</f>
        <v/>
      </c>
      <c r="K6" s="209" t="str">
        <f>IF(Inputs!K19="","",Inputs!K19)</f>
        <v/>
      </c>
      <c r="L6" s="209" t="str">
        <f>IF(Inputs!L19="","",Inputs!L19)</f>
        <v/>
      </c>
      <c r="M6" s="209" t="str">
        <f>IF(Inputs!M19="","",Inputs!M19)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0.57725038682078811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109</v>
      </c>
      <c r="C8" s="208">
        <f>IF(Inputs!C20="","",Inputs!C20)</f>
        <v>2909</v>
      </c>
      <c r="D8" s="208">
        <f>IF(Inputs!D20="","",Inputs!D20)</f>
        <v>2280</v>
      </c>
      <c r="E8" s="208" t="str">
        <f>IF(Inputs!E20="","",Inputs!E20)</f>
        <v/>
      </c>
      <c r="F8" s="208" t="str">
        <f>IF(Inputs!F20="","",Inputs!F20)</f>
        <v/>
      </c>
      <c r="G8" s="208" t="str">
        <f>IF(Inputs!G20="","",Inputs!G20)</f>
        <v/>
      </c>
      <c r="H8" s="208" t="str">
        <f>IF(Inputs!H20="","",Inputs!H20)</f>
        <v/>
      </c>
      <c r="I8" s="208" t="str">
        <f>IF(Inputs!I20="","",Inputs!I20)</f>
        <v/>
      </c>
      <c r="J8" s="208" t="str">
        <f>IF(Inputs!J20="","",Inputs!J20)</f>
        <v/>
      </c>
      <c r="K8" s="208" t="str">
        <f>IF(Inputs!K20="","",Inputs!K20)</f>
        <v/>
      </c>
      <c r="L8" s="208" t="str">
        <f>IF(Inputs!L20="","",Inputs!L20)</f>
        <v/>
      </c>
      <c r="M8" s="208" t="str">
        <f>IF(Inputs!M20="","",Inputs!M20)</f>
        <v/>
      </c>
      <c r="N8" s="87"/>
    </row>
    <row r="9" spans="1:14" ht="15.75" customHeight="1" x14ac:dyDescent="0.4">
      <c r="A9" s="4"/>
      <c r="B9" s="98" t="s">
        <v>105</v>
      </c>
      <c r="C9" s="154">
        <f t="shared" ref="C9:M9" si="2">IF(C6="","",(C6-C8))</f>
        <v>66408</v>
      </c>
      <c r="D9" s="154">
        <f t="shared" si="2"/>
        <v>41668</v>
      </c>
      <c r="E9" s="154" t="str">
        <f t="shared" si="2"/>
        <v/>
      </c>
      <c r="F9" s="154" t="str">
        <f t="shared" si="2"/>
        <v/>
      </c>
      <c r="G9" s="154" t="str">
        <f t="shared" si="2"/>
        <v/>
      </c>
      <c r="H9" s="154" t="str">
        <f t="shared" si="2"/>
        <v/>
      </c>
      <c r="I9" s="154" t="str">
        <f t="shared" si="2"/>
        <v/>
      </c>
      <c r="J9" s="154" t="str">
        <f t="shared" si="2"/>
        <v/>
      </c>
      <c r="K9" s="154" t="str">
        <f t="shared" si="2"/>
        <v/>
      </c>
      <c r="L9" s="154" t="str">
        <f t="shared" si="2"/>
        <v/>
      </c>
      <c r="M9" s="154" t="str">
        <f t="shared" si="2"/>
        <v/>
      </c>
      <c r="N9" s="87"/>
    </row>
    <row r="10" spans="1:14" ht="15.75" customHeight="1" x14ac:dyDescent="0.4">
      <c r="A10" s="4"/>
      <c r="B10" s="97" t="s">
        <v>107</v>
      </c>
      <c r="C10" s="208">
        <f>IF(Inputs!C21="","",Inputs!C21)</f>
        <v>14624</v>
      </c>
      <c r="D10" s="208">
        <f>IF(Inputs!D21="","",Inputs!D21)</f>
        <v>13795</v>
      </c>
      <c r="E10" s="208" t="str">
        <f>IF(Inputs!E21="","",Inputs!E21)</f>
        <v/>
      </c>
      <c r="F10" s="208" t="str">
        <f>IF(Inputs!F21="","",Inputs!F21)</f>
        <v/>
      </c>
      <c r="G10" s="208" t="str">
        <f>IF(Inputs!G21="","",Inputs!G21)</f>
        <v/>
      </c>
      <c r="H10" s="208" t="str">
        <f>IF(Inputs!H21="","",Inputs!H21)</f>
        <v/>
      </c>
      <c r="I10" s="208" t="str">
        <f>IF(Inputs!I21="","",Inputs!I21)</f>
        <v/>
      </c>
      <c r="J10" s="208" t="str">
        <f>IF(Inputs!J21="","",Inputs!J21)</f>
        <v/>
      </c>
      <c r="K10" s="208" t="str">
        <f>IF(Inputs!K21="","",Inputs!K21)</f>
        <v/>
      </c>
      <c r="L10" s="208" t="str">
        <f>IF(Inputs!L21="","",Inputs!L21)</f>
        <v/>
      </c>
      <c r="M10" s="208" t="str">
        <f>IF(Inputs!M21="","",Inputs!M21)</f>
        <v/>
      </c>
      <c r="N10" s="87"/>
    </row>
    <row r="11" spans="1:14" ht="15.75" customHeight="1" x14ac:dyDescent="0.4">
      <c r="A11" s="4"/>
      <c r="B11" s="94" t="s">
        <v>100</v>
      </c>
      <c r="C11" s="155" t="str">
        <f>IF(OR(C6="",C12=""),"",C12/C6)</f>
        <v/>
      </c>
      <c r="D11" s="155" t="str">
        <f t="shared" ref="D11:M11" si="3">IF(OR(D6="",D12=""),"",D12/D6)</f>
        <v/>
      </c>
      <c r="E11" s="155" t="str">
        <f t="shared" si="3"/>
        <v/>
      </c>
      <c r="F11" s="155" t="str">
        <f t="shared" si="3"/>
        <v/>
      </c>
      <c r="G11" s="155" t="str">
        <f t="shared" si="3"/>
        <v/>
      </c>
      <c r="H11" s="155" t="str">
        <f t="shared" si="3"/>
        <v/>
      </c>
      <c r="I11" s="155" t="str">
        <f t="shared" si="3"/>
        <v/>
      </c>
      <c r="J11" s="155" t="str">
        <f t="shared" si="3"/>
        <v/>
      </c>
      <c r="K11" s="155" t="str">
        <f t="shared" si="3"/>
        <v/>
      </c>
      <c r="L11" s="155" t="str">
        <f t="shared" si="3"/>
        <v/>
      </c>
      <c r="M11" s="155" t="str">
        <f t="shared" si="3"/>
        <v/>
      </c>
      <c r="N11" s="87"/>
    </row>
    <row r="12" spans="1:14" ht="15.75" customHeight="1" x14ac:dyDescent="0.4">
      <c r="A12" s="4"/>
      <c r="B12" s="97" t="s">
        <v>108</v>
      </c>
      <c r="C12" s="208" t="str">
        <f>IF(Inputs!C22="","",Inputs!C22)</f>
        <v/>
      </c>
      <c r="D12" s="208" t="str">
        <f>IF(Inputs!D22="","",Inputs!D22)</f>
        <v/>
      </c>
      <c r="E12" s="208" t="str">
        <f>IF(Inputs!E22="","",Inputs!E22)</f>
        <v/>
      </c>
      <c r="F12" s="208" t="str">
        <f>IF(Inputs!F22="","",Inputs!F22)</f>
        <v/>
      </c>
      <c r="G12" s="208" t="str">
        <f>IF(Inputs!G22="","",Inputs!G22)</f>
        <v/>
      </c>
      <c r="H12" s="208" t="str">
        <f>IF(Inputs!H22="","",Inputs!H22)</f>
        <v/>
      </c>
      <c r="I12" s="208" t="str">
        <f>IF(Inputs!I22="","",Inputs!I22)</f>
        <v/>
      </c>
      <c r="J12" s="208" t="str">
        <f>IF(Inputs!J22="","",Inputs!J22)</f>
        <v/>
      </c>
      <c r="K12" s="208" t="str">
        <f>IF(Inputs!K22="","",Inputs!K22)</f>
        <v/>
      </c>
      <c r="L12" s="208" t="str">
        <f>IF(Inputs!L22="","",Inputs!L22)</f>
        <v/>
      </c>
      <c r="M12" s="208" t="str">
        <f>IF(Inputs!M22="","",Inputs!M22)</f>
        <v/>
      </c>
      <c r="N12" s="87"/>
    </row>
    <row r="13" spans="1:14" ht="15.75" customHeight="1" x14ac:dyDescent="0.4">
      <c r="A13" s="4"/>
      <c r="B13" s="98" t="s">
        <v>106</v>
      </c>
      <c r="C13" s="154">
        <f>IF(C6="","",(C9-C10+MAX(C12,0)))</f>
        <v>51784</v>
      </c>
      <c r="D13" s="154">
        <f t="shared" ref="D13:M13" si="4">IF(D6="","",(D9-D10+MAX(D12,0)))</f>
        <v>27873</v>
      </c>
      <c r="E13" s="154" t="str">
        <f t="shared" si="4"/>
        <v/>
      </c>
      <c r="F13" s="154" t="str">
        <f t="shared" si="4"/>
        <v/>
      </c>
      <c r="G13" s="154" t="str">
        <f t="shared" si="4"/>
        <v/>
      </c>
      <c r="H13" s="154" t="str">
        <f t="shared" si="4"/>
        <v/>
      </c>
      <c r="I13" s="154" t="str">
        <f t="shared" si="4"/>
        <v/>
      </c>
      <c r="J13" s="154" t="str">
        <f t="shared" si="4"/>
        <v/>
      </c>
      <c r="K13" s="154" t="str">
        <f t="shared" si="4"/>
        <v/>
      </c>
      <c r="L13" s="154" t="str">
        <f t="shared" si="4"/>
        <v/>
      </c>
      <c r="M13" s="154" t="str">
        <f t="shared" si="4"/>
        <v/>
      </c>
      <c r="N13" s="87"/>
    </row>
    <row r="14" spans="1:14" ht="15.75" customHeight="1" x14ac:dyDescent="0.4">
      <c r="A14" s="4"/>
      <c r="B14" s="97" t="s">
        <v>110</v>
      </c>
      <c r="C14" s="208" t="str">
        <f>IF(Inputs!C23="","",Inputs!C23)</f>
        <v/>
      </c>
      <c r="D14" s="208" t="str">
        <f>IF(Inputs!D23="","",Inputs!D23)</f>
        <v/>
      </c>
      <c r="E14" s="208" t="str">
        <f>IF(Inputs!E23="","",Inputs!E23)</f>
        <v/>
      </c>
      <c r="F14" s="208" t="str">
        <f>IF(Inputs!F23="","",Inputs!F23)</f>
        <v/>
      </c>
      <c r="G14" s="208" t="str">
        <f>IF(Inputs!G23="","",Inputs!G23)</f>
        <v/>
      </c>
      <c r="H14" s="208" t="str">
        <f>IF(Inputs!H23="","",Inputs!H23)</f>
        <v/>
      </c>
      <c r="I14" s="208" t="str">
        <f>IF(Inputs!I23="","",Inputs!I23)</f>
        <v/>
      </c>
      <c r="J14" s="208" t="str">
        <f>IF(Inputs!J23="","",Inputs!J23)</f>
        <v/>
      </c>
      <c r="K14" s="208" t="str">
        <f>IF(Inputs!K23="","",Inputs!K23)</f>
        <v/>
      </c>
      <c r="L14" s="208" t="str">
        <f>IF(Inputs!L23="","",Inputs!L23)</f>
        <v/>
      </c>
      <c r="M14" s="208" t="str">
        <f>IF(Inputs!M23="","",Inputs!M23)</f>
        <v/>
      </c>
      <c r="N14" s="87"/>
    </row>
    <row r="15" spans="1:14" ht="15.75" customHeight="1" x14ac:dyDescent="0.4">
      <c r="A15" s="4"/>
      <c r="B15" s="97" t="s">
        <v>111</v>
      </c>
      <c r="C15" s="208" t="str">
        <f>IF(Inputs!C24="","",Inputs!C24)</f>
        <v/>
      </c>
      <c r="D15" s="208" t="str">
        <f>IF(Inputs!D24="","",Inputs!D24)</f>
        <v/>
      </c>
      <c r="E15" s="208" t="str">
        <f>IF(Inputs!E24="","",Inputs!E24)</f>
        <v/>
      </c>
      <c r="F15" s="208" t="str">
        <f>IF(Inputs!F24="","",Inputs!F24)</f>
        <v/>
      </c>
      <c r="G15" s="208" t="str">
        <f>IF(Inputs!G24="","",Inputs!G24)</f>
        <v/>
      </c>
      <c r="H15" s="208" t="str">
        <f>IF(Inputs!H24="","",Inputs!H24)</f>
        <v/>
      </c>
      <c r="I15" s="208" t="str">
        <f>IF(Inputs!I24="","",Inputs!I24)</f>
        <v/>
      </c>
      <c r="J15" s="208" t="str">
        <f>IF(Inputs!J24="","",Inputs!J24)</f>
        <v/>
      </c>
      <c r="K15" s="208" t="str">
        <f>IF(Inputs!K24="","",Inputs!K24)</f>
        <v/>
      </c>
      <c r="L15" s="208" t="str">
        <f>IF(Inputs!L24="","",Inputs!L24)</f>
        <v/>
      </c>
      <c r="M15" s="208" t="str">
        <f>IF(Inputs!M24="","",Inputs!M24)</f>
        <v/>
      </c>
      <c r="N15" s="87"/>
    </row>
    <row r="16" spans="1:14" ht="15.75" customHeight="1" x14ac:dyDescent="0.4">
      <c r="A16" s="4"/>
      <c r="B16" s="97" t="s">
        <v>113</v>
      </c>
      <c r="C16" s="208" t="str">
        <f>IF(Inputs!C25="","",Inputs!C25)</f>
        <v/>
      </c>
      <c r="D16" s="208" t="str">
        <f>IF(Inputs!D25="","",Inputs!D25)</f>
        <v/>
      </c>
      <c r="E16" s="208" t="str">
        <f>IF(Inputs!E25="","",Inputs!E25)</f>
        <v/>
      </c>
      <c r="F16" s="208" t="str">
        <f>IF(Inputs!F25="","",Inputs!F25)</f>
        <v/>
      </c>
      <c r="G16" s="208" t="str">
        <f>IF(Inputs!G25="","",Inputs!G25)</f>
        <v/>
      </c>
      <c r="H16" s="208" t="str">
        <f>IF(Inputs!H25="","",Inputs!H25)</f>
        <v/>
      </c>
      <c r="I16" s="208" t="str">
        <f>IF(Inputs!I25="","",Inputs!I25)</f>
        <v/>
      </c>
      <c r="J16" s="208" t="str">
        <f>IF(Inputs!J25="","",Inputs!J25)</f>
        <v/>
      </c>
      <c r="K16" s="208" t="str">
        <f>IF(Inputs!K25="","",Inputs!K25)</f>
        <v/>
      </c>
      <c r="L16" s="208" t="str">
        <f>IF(Inputs!L25="","",Inputs!L25)</f>
        <v/>
      </c>
      <c r="M16" s="208" t="str">
        <f>IF(Inputs!M25="","",Inputs!M25)</f>
        <v/>
      </c>
      <c r="N16" s="87"/>
    </row>
    <row r="17" spans="1:14" ht="15.75" customHeight="1" x14ac:dyDescent="0.4">
      <c r="A17" s="4"/>
      <c r="B17" s="97" t="s">
        <v>129</v>
      </c>
      <c r="C17" s="208">
        <f>IF(Inputs!C26="","",Inputs!C26)</f>
        <v>27144</v>
      </c>
      <c r="D17" s="208">
        <f>IF(Inputs!D26="","",Inputs!D26)</f>
        <v>9231</v>
      </c>
      <c r="E17" s="208" t="str">
        <f>IF(Inputs!E26="","",Inputs!E26)</f>
        <v/>
      </c>
      <c r="F17" s="208" t="str">
        <f>IF(Inputs!F26="","",Inputs!F26)</f>
        <v/>
      </c>
      <c r="G17" s="208" t="str">
        <f>IF(Inputs!G26="","",Inputs!G26)</f>
        <v/>
      </c>
      <c r="H17" s="208" t="str">
        <f>IF(Inputs!H26="","",Inputs!H26)</f>
        <v/>
      </c>
      <c r="I17" s="208" t="str">
        <f>IF(Inputs!I26="","",Inputs!I26)</f>
        <v/>
      </c>
      <c r="J17" s="208" t="str">
        <f>IF(Inputs!J26="","",Inputs!J26)</f>
        <v/>
      </c>
      <c r="K17" s="208" t="str">
        <f>IF(Inputs!K26="","",Inputs!K26)</f>
        <v/>
      </c>
      <c r="L17" s="208" t="str">
        <f>IF(Inputs!L26="","",Inputs!L26)</f>
        <v/>
      </c>
      <c r="M17" s="208" t="str">
        <f>IF(Inputs!M26="","",Inputs!M26)</f>
        <v/>
      </c>
      <c r="N17" s="87"/>
    </row>
    <row r="18" spans="1:14" ht="15.75" customHeight="1" x14ac:dyDescent="0.4">
      <c r="A18" s="4"/>
      <c r="B18" s="99" t="s">
        <v>114</v>
      </c>
      <c r="C18" s="208">
        <f>IF(Inputs!C27="","",Inputs!C27)</f>
        <v>-10</v>
      </c>
      <c r="D18" s="208">
        <f>IF(Inputs!D27="","",Inputs!D27)</f>
        <v>-14</v>
      </c>
      <c r="E18" s="208" t="str">
        <f>IF(Inputs!E27="","",Inputs!E27)</f>
        <v/>
      </c>
      <c r="F18" s="208" t="str">
        <f>IF(Inputs!F27="","",Inputs!F27)</f>
        <v/>
      </c>
      <c r="G18" s="208" t="str">
        <f>IF(Inputs!G27="","",Inputs!G27)</f>
        <v/>
      </c>
      <c r="H18" s="208" t="str">
        <f>IF(Inputs!H27="","",Inputs!H27)</f>
        <v/>
      </c>
      <c r="I18" s="208" t="str">
        <f>IF(Inputs!I27="","",Inputs!I27)</f>
        <v/>
      </c>
      <c r="J18" s="208" t="str">
        <f>IF(Inputs!J27="","",Inputs!J27)</f>
        <v/>
      </c>
      <c r="K18" s="208" t="str">
        <f>IF(Inputs!K27="","",Inputs!K27)</f>
        <v/>
      </c>
      <c r="L18" s="208" t="str">
        <f>IF(Inputs!L27="","",Inputs!L27)</f>
        <v/>
      </c>
      <c r="M18" s="208" t="str">
        <f>IF(Inputs!M27="","",Inputs!M27)</f>
        <v/>
      </c>
      <c r="N18" s="87"/>
    </row>
    <row r="19" spans="1:14" ht="15.75" customHeight="1" x14ac:dyDescent="0.4">
      <c r="A19" s="4"/>
      <c r="B19" s="99" t="s">
        <v>216</v>
      </c>
      <c r="C19" s="77">
        <f>IF(C6="","",C9-C10-C17-MAX(C18/(1-Fin_Analysis!$I$84),0))</f>
        <v>24640</v>
      </c>
      <c r="D19" s="77">
        <f>IF(D6="","",D9-D10-D17-MAX(D18/(1-Fin_Analysis!$I$84),0))</f>
        <v>18642</v>
      </c>
      <c r="E19" s="77" t="str">
        <f>IF(E6="","",E9-E10-E17-MAX(E18/(1-Fin_Analysis!$I$84),0))</f>
        <v/>
      </c>
      <c r="F19" s="77" t="str">
        <f>IF(F6="","",F9-F10-F17-MAX(F18/(1-Fin_Analysis!$I$84),0))</f>
        <v/>
      </c>
      <c r="G19" s="77" t="str">
        <f>IF(G6="","",G9-G10-G17-MAX(G18/(1-Fin_Analysis!$I$84),0))</f>
        <v/>
      </c>
      <c r="H19" s="77" t="str">
        <f>IF(H6="","",H9-H10-H17-MAX(H18/(1-Fin_Analysis!$I$84),0))</f>
        <v/>
      </c>
      <c r="I19" s="77" t="str">
        <f>IF(I6="","",I9-I10-I17-MAX(I18/(1-Fin_Analysis!$I$84),0))</f>
        <v/>
      </c>
      <c r="J19" s="77" t="str">
        <f>IF(J6="","",J9-J10-J17-MAX(J18/(1-Fin_Analysis!$I$84),0))</f>
        <v/>
      </c>
      <c r="K19" s="77" t="str">
        <f>IF(K6="","",K9-K10-K17-MAX(K18/(1-Fin_Analysis!$I$84),0))</f>
        <v/>
      </c>
      <c r="L19" s="77" t="str">
        <f>IF(L6="","",L9-L10-L17-MAX(L18/(1-Fin_Analysis!$I$84),0))</f>
        <v/>
      </c>
      <c r="M19" s="77" t="str">
        <f>IF(M6="","",M9-M10-M17-MAX(M18/(1-Fin_Analysis!$I$84),0))</f>
        <v/>
      </c>
      <c r="N19" s="87"/>
    </row>
    <row r="20" spans="1:14" ht="15.75" customHeight="1" x14ac:dyDescent="0.4">
      <c r="A20" s="4"/>
      <c r="B20" s="99" t="s">
        <v>217</v>
      </c>
      <c r="C20" s="156">
        <f>IF(D19="","",IF(ABS(C19+D19)=ABS(C19)+ABS(D19),IF(C19&lt;0,-1,1)*(C19-D19)/D19,"Turn"))</f>
        <v>0.32174659371312092</v>
      </c>
      <c r="D20" s="156" t="str">
        <f t="shared" ref="D20:M20" si="5">IF(E19="","",IF(ABS(D19+E19)=ABS(D19)+ABS(E19),IF(D19&lt;0,-1,1)*(D19-E19)/E19,"Turn"))</f>
        <v/>
      </c>
      <c r="E20" s="156" t="str">
        <f t="shared" si="5"/>
        <v/>
      </c>
      <c r="F20" s="156" t="str">
        <f t="shared" si="5"/>
        <v/>
      </c>
      <c r="G20" s="156" t="str">
        <f t="shared" si="5"/>
        <v/>
      </c>
      <c r="H20" s="156" t="str">
        <f t="shared" si="5"/>
        <v/>
      </c>
      <c r="I20" s="156" t="str">
        <f t="shared" si="5"/>
        <v/>
      </c>
      <c r="J20" s="156" t="str">
        <f t="shared" si="5"/>
        <v/>
      </c>
      <c r="K20" s="156" t="str">
        <f t="shared" si="5"/>
        <v/>
      </c>
      <c r="L20" s="156" t="str">
        <f t="shared" si="5"/>
        <v/>
      </c>
      <c r="M20" s="156" t="str">
        <f t="shared" si="5"/>
        <v/>
      </c>
      <c r="N20" s="87"/>
    </row>
    <row r="21" spans="1:14" ht="15.75" customHeight="1" x14ac:dyDescent="0.4">
      <c r="A21" s="4"/>
      <c r="B21" s="94" t="s">
        <v>115</v>
      </c>
      <c r="C21" s="77">
        <f>IF(C6="","",C13-MAX(C14,0)-MAX(C15,0)-MAX(C16,0)-C17-MAX(C18/(1-Fin_Analysis!$I$84),0))</f>
        <v>24640</v>
      </c>
      <c r="D21" s="77">
        <f>IF(D6="","",D13-MAX(D14,0)-MAX(D15,0)-MAX(D16,0)-D17-MAX(D18/(1-Fin_Analysis!$I$84),0))</f>
        <v>18642</v>
      </c>
      <c r="E21" s="77" t="str">
        <f>IF(E6="","",E13-MAX(E14,0)-MAX(E15,0)-MAX(E16,0)-E17-MAX(E18/(1-Fin_Analysis!$I$84),0))</f>
        <v/>
      </c>
      <c r="F21" s="77" t="str">
        <f>IF(F6="","",F13-MAX(F14,0)-MAX(F15,0)-MAX(F16,0)-F17-MAX(F18/(1-Fin_Analysis!$I$84),0))</f>
        <v/>
      </c>
      <c r="G21" s="77" t="str">
        <f>IF(G6="","",G13-MAX(G14,0)-MAX(G15,0)-MAX(G16,0)-G17-MAX(G18/(1-Fin_Analysis!$I$84),0))</f>
        <v/>
      </c>
      <c r="H21" s="77" t="str">
        <f>IF(H6="","",H13-MAX(H14,0)-MAX(H15,0)-MAX(H16,0)-H17-MAX(H18/(1-Fin_Analysis!$I$84),0))</f>
        <v/>
      </c>
      <c r="I21" s="77" t="str">
        <f>IF(I6="","",I13-MAX(I14,0)-MAX(I15,0)-MAX(I16,0)-I17-MAX(I18/(1-Fin_Analysis!$I$84),0))</f>
        <v/>
      </c>
      <c r="J21" s="77" t="str">
        <f>IF(J6="","",J13-MAX(J14,0)-MAX(J15,0)-MAX(J16,0)-J17-MAX(J18/(1-Fin_Analysis!$I$84),0))</f>
        <v/>
      </c>
      <c r="K21" s="77" t="str">
        <f>IF(K6="","",K13-MAX(K14,0)-MAX(K15,0)-MAX(K16,0)-K17-MAX(K18/(1-Fin_Analysis!$I$84),0))</f>
        <v/>
      </c>
      <c r="L21" s="77" t="str">
        <f>IF(L6="","",L13-MAX(L14,0)-MAX(L15,0)-MAX(L16,0)-L17-MAX(L18/(1-Fin_Analysis!$I$84),0))</f>
        <v/>
      </c>
      <c r="M21" s="77" t="str">
        <f>IF(M6="","",M13-MAX(M14,0)-MAX(M15,0)-MAX(M16,0)-M17-MAX(M18/(1-Fin_Analysis!$I$84),0))</f>
        <v/>
      </c>
      <c r="N21" s="87"/>
    </row>
    <row r="22" spans="1:14" ht="15.75" customHeight="1" x14ac:dyDescent="0.4">
      <c r="A22" s="4"/>
      <c r="B22" s="98" t="s">
        <v>116</v>
      </c>
      <c r="C22" s="156">
        <f>IF(D21="","",IF(ABS(C21+D21)=ABS(C21)+ABS(D21),IF(C21&lt;0,-1,1)*(C21-D21)/D21,"Turn"))</f>
        <v>0.32174659371312092</v>
      </c>
      <c r="D22" s="156" t="str">
        <f t="shared" ref="D22:M22" si="6">IF(E21="","",IF(ABS(D21+E21)=ABS(D21)+ABS(E21),IF(D21&lt;0,-1,1)*(D21-E21)/E21,"Turn"))</f>
        <v/>
      </c>
      <c r="E22" s="156" t="str">
        <f t="shared" si="6"/>
        <v/>
      </c>
      <c r="F22" s="156" t="str">
        <f t="shared" si="6"/>
        <v/>
      </c>
      <c r="G22" s="156" t="str">
        <f t="shared" si="6"/>
        <v/>
      </c>
      <c r="H22" s="156" t="str">
        <f t="shared" si="6"/>
        <v/>
      </c>
      <c r="I22" s="156" t="str">
        <f t="shared" si="6"/>
        <v/>
      </c>
      <c r="J22" s="156" t="str">
        <f t="shared" si="6"/>
        <v/>
      </c>
      <c r="K22" s="156" t="str">
        <f t="shared" si="6"/>
        <v/>
      </c>
      <c r="L22" s="156" t="str">
        <f t="shared" si="6"/>
        <v/>
      </c>
      <c r="M22" s="156" t="str">
        <f t="shared" si="6"/>
        <v/>
      </c>
      <c r="N22" s="87"/>
    </row>
    <row r="23" spans="1:14" ht="15.75" customHeight="1" x14ac:dyDescent="0.4">
      <c r="A23" s="4"/>
      <c r="B23" s="100" t="s">
        <v>117</v>
      </c>
      <c r="C23" s="157">
        <f t="shared" ref="C23:M23" si="7">IF(C6="","",C24/C6)</f>
        <v>0.27193329197743699</v>
      </c>
      <c r="D23" s="157">
        <f t="shared" si="7"/>
        <v>0.32450009101665606</v>
      </c>
      <c r="E23" s="157" t="str">
        <f t="shared" si="7"/>
        <v/>
      </c>
      <c r="F23" s="157" t="str">
        <f t="shared" si="7"/>
        <v/>
      </c>
      <c r="G23" s="157" t="str">
        <f t="shared" si="7"/>
        <v/>
      </c>
      <c r="H23" s="157" t="str">
        <f t="shared" si="7"/>
        <v/>
      </c>
      <c r="I23" s="157" t="str">
        <f t="shared" si="7"/>
        <v/>
      </c>
      <c r="J23" s="157" t="str">
        <f t="shared" si="7"/>
        <v/>
      </c>
      <c r="K23" s="157" t="str">
        <f t="shared" si="7"/>
        <v/>
      </c>
      <c r="L23" s="157" t="str">
        <f t="shared" si="7"/>
        <v/>
      </c>
      <c r="M23" s="157" t="str">
        <f t="shared" si="7"/>
        <v/>
      </c>
      <c r="N23" s="87"/>
    </row>
    <row r="24" spans="1:14" ht="15.75" customHeight="1" x14ac:dyDescent="0.4">
      <c r="A24" s="4"/>
      <c r="B24" s="102" t="s">
        <v>118</v>
      </c>
      <c r="C24" s="158">
        <f>IF(C6="","",C21*(1-Fin_Analysis!$I$84))</f>
        <v>18849.599999999999</v>
      </c>
      <c r="D24" s="77">
        <f>IF(D6="","",D21*(1-Fin_Analysis!$I$84))</f>
        <v>14261.130000000001</v>
      </c>
      <c r="E24" s="77" t="str">
        <f>IF(E6="","",E21*(1-Fin_Analysis!$I$84))</f>
        <v/>
      </c>
      <c r="F24" s="77" t="str">
        <f>IF(F6="","",F21*(1-Fin_Analysis!$I$84))</f>
        <v/>
      </c>
      <c r="G24" s="77" t="str">
        <f>IF(G6="","",G21*(1-Fin_Analysis!$I$84))</f>
        <v/>
      </c>
      <c r="H24" s="77" t="str">
        <f>IF(H6="","",H21*(1-Fin_Analysis!$I$84))</f>
        <v/>
      </c>
      <c r="I24" s="77" t="str">
        <f>IF(I6="","",I21*(1-Fin_Analysis!$I$84))</f>
        <v/>
      </c>
      <c r="J24" s="77" t="str">
        <f>IF(J6="","",J21*(1-Fin_Analysis!$I$84))</f>
        <v/>
      </c>
      <c r="K24" s="77" t="str">
        <f>IF(K6="","",K21*(1-Fin_Analysis!$I$84))</f>
        <v/>
      </c>
      <c r="L24" s="77" t="str">
        <f>IF(L6="","",L21*(1-Fin_Analysis!$I$84))</f>
        <v/>
      </c>
      <c r="M24" s="77" t="str">
        <f>IF(M6="","",M21*(1-Fin_Analysis!$I$84))</f>
        <v/>
      </c>
      <c r="N24" s="87"/>
    </row>
    <row r="25" spans="1:14" ht="15.75" customHeight="1" thickBot="1" x14ac:dyDescent="0.45">
      <c r="A25" s="4"/>
      <c r="B25" s="101" t="s">
        <v>138</v>
      </c>
      <c r="C25" s="159">
        <f>IF(D24="","",IF(ABS(C24+D24)=ABS(C24)+ABS(D24),IF(C24&lt;0,-1,1)*(C24-D24)/D24,"Turn"))</f>
        <v>0.3217465937131207</v>
      </c>
      <c r="D25" s="159" t="str">
        <f t="shared" ref="D25:M25" si="8">IF(E24="","",IF(ABS(D24+E24)=ABS(D24)+ABS(E24),IF(D24&lt;0,-1,1)*(D24-E24)/E24,"Turn"))</f>
        <v/>
      </c>
      <c r="E25" s="159" t="str">
        <f t="shared" si="8"/>
        <v/>
      </c>
      <c r="F25" s="159" t="str">
        <f t="shared" si="8"/>
        <v/>
      </c>
      <c r="G25" s="159" t="str">
        <f t="shared" si="8"/>
        <v/>
      </c>
      <c r="H25" s="159" t="str">
        <f t="shared" si="8"/>
        <v/>
      </c>
      <c r="I25" s="159" t="str">
        <f t="shared" si="8"/>
        <v/>
      </c>
      <c r="J25" s="159" t="str">
        <f t="shared" si="8"/>
        <v/>
      </c>
      <c r="K25" s="159" t="str">
        <f t="shared" si="8"/>
        <v/>
      </c>
      <c r="L25" s="159" t="str">
        <f t="shared" si="8"/>
        <v/>
      </c>
      <c r="M25" s="159" t="str">
        <f t="shared" si="8"/>
        <v/>
      </c>
      <c r="N25" s="87"/>
    </row>
    <row r="26" spans="1:14" ht="15.75" customHeight="1" thickTop="1" x14ac:dyDescent="0.4">
      <c r="A26" s="16"/>
      <c r="B26" s="115" t="s">
        <v>145</v>
      </c>
      <c r="C26" s="48">
        <f>Fin_Analysis!D9</f>
        <v>45473</v>
      </c>
      <c r="D26" s="49">
        <f>D5</f>
        <v>44926</v>
      </c>
      <c r="E26" s="49">
        <f t="shared" ref="E26" si="9">EOMONTH(EDATE(D26,-12),0)</f>
        <v>44561</v>
      </c>
      <c r="F26" s="49">
        <f t="shared" ref="F26" si="10">EOMONTH(EDATE(E26,-12),0)</f>
        <v>44196</v>
      </c>
      <c r="G26" s="49">
        <f t="shared" ref="G26" si="11">EOMONTH(EDATE(F26,-12),0)</f>
        <v>43830</v>
      </c>
      <c r="H26" s="49">
        <f t="shared" ref="H26" si="12">EOMONTH(EDATE(G26,-12),0)</f>
        <v>43465</v>
      </c>
      <c r="I26" s="49">
        <f t="shared" ref="I26" si="13">EOMONTH(EDATE(H26,-12),0)</f>
        <v>43100</v>
      </c>
      <c r="J26" s="49">
        <f t="shared" ref="J26" si="14">EOMONTH(EDATE(I26,-12),0)</f>
        <v>42735</v>
      </c>
      <c r="K26" s="49">
        <f t="shared" ref="K26" si="15">EOMONTH(EDATE(J26,-12),0)</f>
        <v>42369</v>
      </c>
      <c r="L26" s="49">
        <f t="shared" ref="L26" si="16">EOMONTH(EDATE(K26,-12),0)</f>
        <v>42004</v>
      </c>
      <c r="M26" s="49">
        <f t="shared" ref="M26" si="17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18">IF(D36="","",D36+D31+D32)</f>
        <v/>
      </c>
      <c r="E27" s="65" t="str">
        <f t="shared" si="18"/>
        <v/>
      </c>
      <c r="F27" s="65" t="str">
        <f t="shared" si="18"/>
        <v/>
      </c>
      <c r="G27" s="65" t="str">
        <f t="shared" si="18"/>
        <v/>
      </c>
      <c r="H27" s="65" t="str">
        <f t="shared" si="18"/>
        <v/>
      </c>
      <c r="I27" s="65" t="str">
        <f t="shared" si="18"/>
        <v/>
      </c>
      <c r="J27" s="65" t="str">
        <f t="shared" si="18"/>
        <v/>
      </c>
      <c r="K27" s="65" t="str">
        <f t="shared" si="18"/>
        <v/>
      </c>
      <c r="L27" s="65" t="str">
        <f t="shared" si="18"/>
        <v/>
      </c>
      <c r="M27" s="65" t="str">
        <f t="shared" si="18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208" t="str">
        <f>IF(Inputs!D28="","",Inputs!D28)</f>
        <v/>
      </c>
      <c r="E28" s="208" t="str">
        <f>IF(Inputs!E28="","",Inputs!E28)</f>
        <v/>
      </c>
      <c r="F28" s="208" t="str">
        <f>IF(Inputs!F28="","",Inputs!F28)</f>
        <v/>
      </c>
      <c r="G28" s="208" t="str">
        <f>IF(Inputs!G28="","",Inputs!G28)</f>
        <v/>
      </c>
      <c r="H28" s="208" t="str">
        <f>IF(Inputs!H28="","",Inputs!H28)</f>
        <v/>
      </c>
      <c r="I28" s="208" t="str">
        <f>IF(Inputs!I28="","",Inputs!I28)</f>
        <v/>
      </c>
      <c r="J28" s="208" t="str">
        <f>IF(Inputs!J28="","",Inputs!J28)</f>
        <v/>
      </c>
      <c r="K28" s="208" t="str">
        <f>IF(Inputs!K28="","",Inputs!K28)</f>
        <v/>
      </c>
      <c r="L28" s="208" t="str">
        <f>IF(Inputs!L28="","",Inputs!L28)</f>
        <v/>
      </c>
      <c r="M28" s="208" t="str">
        <f>IF(Inputs!M28="","",Inputs!M28)</f>
        <v/>
      </c>
      <c r="N28" s="87"/>
    </row>
    <row r="29" spans="1:14" ht="15.75" customHeight="1" x14ac:dyDescent="0.4">
      <c r="A29" s="4"/>
      <c r="B29" s="94" t="s">
        <v>121</v>
      </c>
      <c r="C29" s="65">
        <f>Fin_Analysis!C13</f>
        <v>0</v>
      </c>
      <c r="D29" s="208" t="str">
        <f>IF(Inputs!D29="","",Inputs!D29)</f>
        <v/>
      </c>
      <c r="E29" s="208" t="str">
        <f>IF(Inputs!E29="","",Inputs!E29)</f>
        <v/>
      </c>
      <c r="F29" s="208" t="str">
        <f>IF(Inputs!F29="","",Inputs!F29)</f>
        <v/>
      </c>
      <c r="G29" s="208" t="str">
        <f>IF(Inputs!G29="","",Inputs!G29)</f>
        <v/>
      </c>
      <c r="H29" s="208" t="str">
        <f>IF(Inputs!H29="","",Inputs!H29)</f>
        <v/>
      </c>
      <c r="I29" s="208" t="str">
        <f>IF(Inputs!I29="","",Inputs!I29)</f>
        <v/>
      </c>
      <c r="J29" s="208" t="str">
        <f>IF(Inputs!J29="","",Inputs!J29)</f>
        <v/>
      </c>
      <c r="K29" s="208" t="str">
        <f>IF(Inputs!K29="","",Inputs!K29)</f>
        <v/>
      </c>
      <c r="L29" s="208" t="str">
        <f>IF(Inputs!L29="","",Inputs!L29)</f>
        <v/>
      </c>
      <c r="M29" s="208" t="str">
        <f>IF(Inputs!M29="","",Inputs!M29)</f>
        <v/>
      </c>
      <c r="N29" s="87"/>
    </row>
    <row r="30" spans="1:14" ht="15.75" customHeight="1" x14ac:dyDescent="0.4">
      <c r="A30" s="4"/>
      <c r="B30" s="94" t="s">
        <v>159</v>
      </c>
      <c r="C30" s="65">
        <f>Fin_Analysis!C18</f>
        <v>0</v>
      </c>
      <c r="D30" s="208" t="str">
        <f>IF(Inputs!D30="","",Inputs!D30)</f>
        <v/>
      </c>
      <c r="E30" s="208" t="str">
        <f>IF(Inputs!E30="","",Inputs!E30)</f>
        <v/>
      </c>
      <c r="F30" s="208" t="str">
        <f>IF(Inputs!F30="","",Inputs!F30)</f>
        <v/>
      </c>
      <c r="G30" s="208" t="str">
        <f>IF(Inputs!G30="","",Inputs!G30)</f>
        <v/>
      </c>
      <c r="H30" s="208" t="str">
        <f>IF(Inputs!H30="","",Inputs!H30)</f>
        <v/>
      </c>
      <c r="I30" s="208" t="str">
        <f>IF(Inputs!I30="","",Inputs!I30)</f>
        <v/>
      </c>
      <c r="J30" s="208" t="str">
        <f>IF(Inputs!J30="","",Inputs!J30)</f>
        <v/>
      </c>
      <c r="K30" s="208" t="str">
        <f>IF(Inputs!K30="","",Inputs!K30)</f>
        <v/>
      </c>
      <c r="L30" s="208" t="str">
        <f>IF(Inputs!L30="","",Inputs!L30)</f>
        <v/>
      </c>
      <c r="M30" s="208" t="str">
        <f>IF(Inputs!M30="","",Inputs!M30)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208" t="str">
        <f>IF(Inputs!D31="","",Inputs!D31)</f>
        <v/>
      </c>
      <c r="E31" s="208" t="str">
        <f>IF(Inputs!E31="","",Inputs!E31)</f>
        <v/>
      </c>
      <c r="F31" s="208" t="str">
        <f>IF(Inputs!F31="","",Inputs!F31)</f>
        <v/>
      </c>
      <c r="G31" s="208" t="str">
        <f>IF(Inputs!G31="","",Inputs!G31)</f>
        <v/>
      </c>
      <c r="H31" s="208" t="str">
        <f>IF(Inputs!H31="","",Inputs!H31)</f>
        <v/>
      </c>
      <c r="I31" s="208" t="str">
        <f>IF(Inputs!I31="","",Inputs!I31)</f>
        <v/>
      </c>
      <c r="J31" s="208" t="str">
        <f>IF(Inputs!J31="","",Inputs!J31)</f>
        <v/>
      </c>
      <c r="K31" s="208" t="str">
        <f>IF(Inputs!K31="","",Inputs!K31)</f>
        <v/>
      </c>
      <c r="L31" s="208" t="str">
        <f>IF(Inputs!L31="","",Inputs!L31)</f>
        <v/>
      </c>
      <c r="M31" s="208" t="str">
        <f>IF(Inputs!M31="","",Inputs!M31)</f>
        <v/>
      </c>
      <c r="N31" s="87"/>
    </row>
    <row r="32" spans="1:14" ht="15.75" customHeight="1" x14ac:dyDescent="0.4">
      <c r="A32" s="4"/>
      <c r="B32" s="94" t="s">
        <v>120</v>
      </c>
      <c r="C32" s="65">
        <f>Fin_Analysis!I48</f>
        <v>0</v>
      </c>
      <c r="D32" s="208" t="str">
        <f>IF(Inputs!D32="","",Inputs!D32)</f>
        <v/>
      </c>
      <c r="E32" s="208" t="str">
        <f>IF(Inputs!E32="","",Inputs!E32)</f>
        <v/>
      </c>
      <c r="F32" s="208" t="str">
        <f>IF(Inputs!F32="","",Inputs!F32)</f>
        <v/>
      </c>
      <c r="G32" s="208" t="str">
        <f>IF(Inputs!G32="","",Inputs!G32)</f>
        <v/>
      </c>
      <c r="H32" s="208" t="str">
        <f>IF(Inputs!H32="","",Inputs!H32)</f>
        <v/>
      </c>
      <c r="I32" s="208" t="str">
        <f>IF(Inputs!I32="","",Inputs!I32)</f>
        <v/>
      </c>
      <c r="J32" s="208" t="str">
        <f>IF(Inputs!J32="","",Inputs!J32)</f>
        <v/>
      </c>
      <c r="K32" s="208" t="str">
        <f>IF(Inputs!K32="","",Inputs!K32)</f>
        <v/>
      </c>
      <c r="L32" s="208" t="str">
        <f>IF(Inputs!L32="","",Inputs!L32)</f>
        <v/>
      </c>
      <c r="M32" s="208" t="str">
        <f>IF(Inputs!M32="","",Inputs!M32)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208" t="str">
        <f>IF(Inputs!D33="","",Inputs!D33)</f>
        <v/>
      </c>
      <c r="E33" s="208" t="str">
        <f>IF(Inputs!E33="","",Inputs!E33)</f>
        <v/>
      </c>
      <c r="F33" s="208" t="str">
        <f>IF(Inputs!F33="","",Inputs!F33)</f>
        <v/>
      </c>
      <c r="G33" s="208" t="str">
        <f>IF(Inputs!G33="","",Inputs!G33)</f>
        <v/>
      </c>
      <c r="H33" s="208" t="str">
        <f>IF(Inputs!H33="","",Inputs!H33)</f>
        <v/>
      </c>
      <c r="I33" s="208" t="str">
        <f>IF(Inputs!I33="","",Inputs!I33)</f>
        <v/>
      </c>
      <c r="J33" s="208" t="str">
        <f>IF(Inputs!J33="","",Inputs!J33)</f>
        <v/>
      </c>
      <c r="K33" s="208" t="str">
        <f>IF(Inputs!K33="","",Inputs!K33)</f>
        <v/>
      </c>
      <c r="L33" s="208" t="str">
        <f>IF(Inputs!L33="","",Inputs!L33)</f>
        <v/>
      </c>
      <c r="M33" s="208" t="str">
        <f>IF(Inputs!M33="","",Inputs!M33)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208" t="str">
        <f>IF(Inputs!D34="","",Inputs!D34)</f>
        <v/>
      </c>
      <c r="E34" s="208" t="str">
        <f>IF(Inputs!E34="","",Inputs!E34)</f>
        <v/>
      </c>
      <c r="F34" s="208" t="str">
        <f>IF(Inputs!F34="","",Inputs!F34)</f>
        <v/>
      </c>
      <c r="G34" s="208" t="str">
        <f>IF(Inputs!G34="","",Inputs!G34)</f>
        <v/>
      </c>
      <c r="H34" s="208" t="str">
        <f>IF(Inputs!H34="","",Inputs!H34)</f>
        <v/>
      </c>
      <c r="I34" s="208" t="str">
        <f>IF(Inputs!I34="","",Inputs!I34)</f>
        <v/>
      </c>
      <c r="J34" s="208" t="str">
        <f>IF(Inputs!J34="","",Inputs!J34)</f>
        <v/>
      </c>
      <c r="K34" s="208" t="str">
        <f>IF(Inputs!K34="","",Inputs!K34)</f>
        <v/>
      </c>
      <c r="L34" s="208" t="str">
        <f>IF(Inputs!L34="","",Inputs!L34)</f>
        <v/>
      </c>
      <c r="M34" s="208" t="str">
        <f>IF(Inputs!M34="","",Inputs!M34)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19">IF(OR(C33="",C34=""),"",C33+C34)</f>
        <v>0</v>
      </c>
      <c r="D35" s="77" t="str">
        <f t="shared" ref="D35" si="20">IF(OR(D33="",D34=""),"",D33+D34)</f>
        <v/>
      </c>
      <c r="E35" s="77" t="str">
        <f t="shared" ref="E35" si="21">IF(OR(E33="",E34=""),"",E33+E34)</f>
        <v/>
      </c>
      <c r="F35" s="77" t="str">
        <f t="shared" ref="F35" si="22">IF(OR(F33="",F34=""),"",F33+F34)</f>
        <v/>
      </c>
      <c r="G35" s="77" t="str">
        <f t="shared" ref="G35" si="23">IF(OR(G33="",G34=""),"",G33+G34)</f>
        <v/>
      </c>
      <c r="H35" s="77" t="str">
        <f t="shared" ref="H35" si="24">IF(OR(H33="",H34=""),"",H33+H34)</f>
        <v/>
      </c>
      <c r="I35" s="77" t="str">
        <f t="shared" ref="I35" si="25">IF(OR(I33="",I34=""),"",I33+I34)</f>
        <v/>
      </c>
      <c r="J35" s="77" t="str">
        <f t="shared" ref="J35" si="26">IF(OR(J33="",J34=""),"",J33+J34)</f>
        <v/>
      </c>
      <c r="K35" s="77" t="str">
        <f t="shared" ref="K35" si="27">IF(OR(K33="",K34=""),"",K33+K34)</f>
        <v/>
      </c>
      <c r="L35" s="77" t="str">
        <f t="shared" ref="L35" si="28">IF(OR(L33="",L34=""),"",L33+L34)</f>
        <v/>
      </c>
      <c r="M35" s="77" t="str">
        <f t="shared" ref="M35" si="29">IF(OR(M33="",M34=""),"",M33+M34)</f>
        <v/>
      </c>
      <c r="N35" s="87"/>
    </row>
    <row r="36" spans="1:14" ht="15.75" customHeight="1" x14ac:dyDescent="0.4">
      <c r="A36" s="4"/>
      <c r="B36" s="94" t="s">
        <v>148</v>
      </c>
      <c r="C36" s="65">
        <f>Fin_Analysis!D3</f>
        <v>0</v>
      </c>
      <c r="D36" s="208" t="str">
        <f>IF(Inputs!D35="","",Inputs!D35)</f>
        <v/>
      </c>
      <c r="E36" s="208" t="str">
        <f>IF(Inputs!E35="","",Inputs!E35)</f>
        <v/>
      </c>
      <c r="F36" s="208" t="str">
        <f>IF(Inputs!F35="","",Inputs!F35)</f>
        <v/>
      </c>
      <c r="G36" s="208" t="str">
        <f>IF(Inputs!G35="","",Inputs!G35)</f>
        <v/>
      </c>
      <c r="H36" s="208" t="str">
        <f>IF(Inputs!H35="","",Inputs!H35)</f>
        <v/>
      </c>
      <c r="I36" s="208" t="str">
        <f>IF(Inputs!I35="","",Inputs!I35)</f>
        <v/>
      </c>
      <c r="J36" s="208" t="str">
        <f>IF(Inputs!J35="","",Inputs!J35)</f>
        <v/>
      </c>
      <c r="K36" s="208" t="str">
        <f>IF(Inputs!K35="","",Inputs!K35)</f>
        <v/>
      </c>
      <c r="L36" s="208" t="str">
        <f>IF(Inputs!L35="","",Inputs!L35)</f>
        <v/>
      </c>
      <c r="M36" s="208" t="str">
        <f>IF(Inputs!M35="","",Inputs!M35)</f>
        <v/>
      </c>
      <c r="N36" s="87"/>
    </row>
    <row r="37" spans="1:14" ht="15.75" customHeight="1" x14ac:dyDescent="0.4">
      <c r="A37" s="4"/>
      <c r="B37" s="94" t="s">
        <v>149</v>
      </c>
      <c r="C37" s="65">
        <f>Fin_Analysis!D4</f>
        <v>0</v>
      </c>
      <c r="D37" s="208" t="str">
        <f>IF(Inputs!D36="","",Inputs!D36)</f>
        <v/>
      </c>
      <c r="E37" s="208" t="str">
        <f>IF(Inputs!E36="","",Inputs!E36)</f>
        <v/>
      </c>
      <c r="F37" s="208" t="str">
        <f>IF(Inputs!F36="","",Inputs!F36)</f>
        <v/>
      </c>
      <c r="G37" s="208" t="str">
        <f>IF(Inputs!G36="","",Inputs!G36)</f>
        <v/>
      </c>
      <c r="H37" s="208" t="str">
        <f>IF(Inputs!H36="","",Inputs!H36)</f>
        <v/>
      </c>
      <c r="I37" s="208" t="str">
        <f>IF(Inputs!I36="","",Inputs!I36)</f>
        <v/>
      </c>
      <c r="J37" s="208" t="str">
        <f>IF(Inputs!J36="","",Inputs!J36)</f>
        <v/>
      </c>
      <c r="K37" s="208" t="str">
        <f>IF(Inputs!K36="","",Inputs!K36)</f>
        <v/>
      </c>
      <c r="L37" s="208" t="str">
        <f>IF(Inputs!L36="","",Inputs!L36)</f>
        <v/>
      </c>
      <c r="M37" s="208" t="str">
        <f>IF(Inputs!M36="","",Inputs!M36)</f>
        <v/>
      </c>
      <c r="N37" s="87"/>
    </row>
    <row r="38" spans="1:14" ht="15.75" customHeight="1" x14ac:dyDescent="0.4">
      <c r="A38" s="4"/>
      <c r="B38" s="94" t="s">
        <v>147</v>
      </c>
      <c r="C38" s="65">
        <f>Fin_Analysis!C63</f>
        <v>0</v>
      </c>
      <c r="D38" s="208" t="str">
        <f>IF(Inputs!D37="","",Inputs!D37)</f>
        <v/>
      </c>
      <c r="E38" s="208" t="str">
        <f>IF(Inputs!E37="","",Inputs!E37)</f>
        <v/>
      </c>
      <c r="F38" s="208" t="str">
        <f>IF(Inputs!F37="","",Inputs!F37)</f>
        <v/>
      </c>
      <c r="G38" s="208" t="str">
        <f>IF(Inputs!G37="","",Inputs!G37)</f>
        <v/>
      </c>
      <c r="H38" s="208" t="str">
        <f>IF(Inputs!H37="","",Inputs!H37)</f>
        <v/>
      </c>
      <c r="I38" s="208" t="str">
        <f>IF(Inputs!I37="","",Inputs!I37)</f>
        <v/>
      </c>
      <c r="J38" s="208" t="str">
        <f>IF(Inputs!J37="","",Inputs!J37)</f>
        <v/>
      </c>
      <c r="K38" s="208" t="str">
        <f>IF(Inputs!K37="","",Inputs!K37)</f>
        <v/>
      </c>
      <c r="L38" s="208" t="str">
        <f>IF(Inputs!L37="","",Inputs!L37)</f>
        <v/>
      </c>
      <c r="M38" s="208" t="str">
        <f>IF(Inputs!M37="","",Inputs!M37)</f>
        <v/>
      </c>
      <c r="N38" s="87"/>
    </row>
    <row r="39" spans="1:14" ht="15.75" customHeight="1" x14ac:dyDescent="0.4">
      <c r="A39" s="4"/>
      <c r="B39" s="94" t="s">
        <v>151</v>
      </c>
      <c r="C39" s="65">
        <f>Fin_Analysis!C68</f>
        <v>0</v>
      </c>
      <c r="D39" s="65" t="str">
        <f>IF(D38="","",D27-D38)</f>
        <v/>
      </c>
      <c r="E39" s="65" t="str">
        <f t="shared" ref="E39:M39" si="30">IF(E38="","",E27-E38)</f>
        <v/>
      </c>
      <c r="F39" s="65" t="str">
        <f t="shared" si="30"/>
        <v/>
      </c>
      <c r="G39" s="65" t="str">
        <f t="shared" si="30"/>
        <v/>
      </c>
      <c r="H39" s="65" t="str">
        <f t="shared" si="30"/>
        <v/>
      </c>
      <c r="I39" s="65" t="str">
        <f t="shared" si="30"/>
        <v/>
      </c>
      <c r="J39" s="65" t="str">
        <f t="shared" si="30"/>
        <v/>
      </c>
      <c r="K39" s="65" t="str">
        <f t="shared" si="30"/>
        <v/>
      </c>
      <c r="L39" s="65" t="str">
        <f t="shared" si="30"/>
        <v/>
      </c>
      <c r="M39" s="65" t="str">
        <f t="shared" si="30"/>
        <v/>
      </c>
      <c r="N39" s="87"/>
    </row>
    <row r="40" spans="1:14" ht="15.75" customHeight="1" x14ac:dyDescent="0.4">
      <c r="A40" s="4"/>
      <c r="B40" s="98" t="s">
        <v>169</v>
      </c>
      <c r="C40" s="160" t="e">
        <f t="shared" ref="C40" si="31">IF(C6="","",C21/C39)</f>
        <v>#DIV/0!</v>
      </c>
      <c r="D40" s="160" t="str">
        <f>IF(D39="","",D21/D39)</f>
        <v/>
      </c>
      <c r="E40" s="160" t="str">
        <f t="shared" ref="E40:M40" si="32">IF(E39="","",E21/E39)</f>
        <v/>
      </c>
      <c r="F40" s="160" t="str">
        <f t="shared" si="32"/>
        <v/>
      </c>
      <c r="G40" s="160" t="str">
        <f t="shared" si="32"/>
        <v/>
      </c>
      <c r="H40" s="160" t="str">
        <f t="shared" si="32"/>
        <v/>
      </c>
      <c r="I40" s="160" t="str">
        <f t="shared" si="32"/>
        <v/>
      </c>
      <c r="J40" s="160" t="str">
        <f t="shared" si="32"/>
        <v/>
      </c>
      <c r="K40" s="160" t="str">
        <f t="shared" si="32"/>
        <v/>
      </c>
      <c r="L40" s="160" t="str">
        <f t="shared" si="32"/>
        <v/>
      </c>
      <c r="M40" s="160" t="str">
        <f t="shared" si="32"/>
        <v/>
      </c>
      <c r="N40" s="87"/>
    </row>
    <row r="41" spans="1:14" ht="15.75" customHeight="1" x14ac:dyDescent="0.4">
      <c r="A41" s="16"/>
      <c r="B41" s="55" t="s">
        <v>132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99</v>
      </c>
      <c r="C42" s="161">
        <f t="shared" ref="C42:M42" si="33">IF(C6="","",C8/C6)</f>
        <v>4.1966617135767562E-2</v>
      </c>
      <c r="D42" s="161">
        <f t="shared" si="33"/>
        <v>5.1879493947392372E-2</v>
      </c>
      <c r="E42" s="161" t="str">
        <f t="shared" si="33"/>
        <v/>
      </c>
      <c r="F42" s="161" t="str">
        <f t="shared" si="33"/>
        <v/>
      </c>
      <c r="G42" s="161" t="str">
        <f t="shared" si="33"/>
        <v/>
      </c>
      <c r="H42" s="161" t="str">
        <f t="shared" si="33"/>
        <v/>
      </c>
      <c r="I42" s="161" t="str">
        <f t="shared" si="33"/>
        <v/>
      </c>
      <c r="J42" s="161" t="str">
        <f t="shared" si="33"/>
        <v/>
      </c>
      <c r="K42" s="161" t="str">
        <f t="shared" si="33"/>
        <v/>
      </c>
      <c r="L42" s="161" t="str">
        <f t="shared" si="33"/>
        <v/>
      </c>
      <c r="M42" s="161" t="str">
        <f t="shared" si="33"/>
        <v/>
      </c>
      <c r="N42" s="87"/>
    </row>
    <row r="43" spans="1:14" ht="15.75" customHeight="1" x14ac:dyDescent="0.4">
      <c r="A43" s="4"/>
      <c r="B43" s="94" t="s">
        <v>126</v>
      </c>
      <c r="C43" s="157">
        <f>IF(C6="","",(C10-MAX(C12,0))/C6)</f>
        <v>0.2109727772407923</v>
      </c>
      <c r="D43" s="157">
        <f t="shared" ref="D43:M43" si="34">IF(D6="","",(D10-MAX(D12,0))/D6)</f>
        <v>0.31389369254573585</v>
      </c>
      <c r="E43" s="157" t="str">
        <f t="shared" si="34"/>
        <v/>
      </c>
      <c r="F43" s="157" t="str">
        <f t="shared" si="34"/>
        <v/>
      </c>
      <c r="G43" s="157" t="str">
        <f t="shared" si="34"/>
        <v/>
      </c>
      <c r="H43" s="157" t="str">
        <f t="shared" si="34"/>
        <v/>
      </c>
      <c r="I43" s="157" t="str">
        <f t="shared" si="34"/>
        <v/>
      </c>
      <c r="J43" s="157" t="str">
        <f t="shared" si="34"/>
        <v/>
      </c>
      <c r="K43" s="157" t="str">
        <f t="shared" si="34"/>
        <v/>
      </c>
      <c r="L43" s="157" t="str">
        <f t="shared" si="34"/>
        <v/>
      </c>
      <c r="M43" s="157" t="str">
        <f t="shared" si="34"/>
        <v/>
      </c>
      <c r="N43" s="87"/>
    </row>
    <row r="44" spans="1:14" ht="15.75" customHeight="1" x14ac:dyDescent="0.4">
      <c r="A44" s="4"/>
      <c r="B44" s="94" t="s">
        <v>101</v>
      </c>
      <c r="C44" s="157">
        <f>IF(C6="","",(MAX(C14,0)+MAX(C15,0))/C6)</f>
        <v>0</v>
      </c>
      <c r="D44" s="157">
        <f t="shared" ref="D44:M44" si="35">IF(D6="","",(MAX(D14,0)+MAX(D15,0))/D6)</f>
        <v>0</v>
      </c>
      <c r="E44" s="157" t="str">
        <f t="shared" si="35"/>
        <v/>
      </c>
      <c r="F44" s="157" t="str">
        <f t="shared" si="35"/>
        <v/>
      </c>
      <c r="G44" s="157" t="str">
        <f t="shared" si="35"/>
        <v/>
      </c>
      <c r="H44" s="157" t="str">
        <f t="shared" si="35"/>
        <v/>
      </c>
      <c r="I44" s="157" t="str">
        <f t="shared" si="35"/>
        <v/>
      </c>
      <c r="J44" s="157" t="str">
        <f t="shared" si="35"/>
        <v/>
      </c>
      <c r="K44" s="157" t="str">
        <f t="shared" si="35"/>
        <v/>
      </c>
      <c r="L44" s="157" t="str">
        <f t="shared" si="35"/>
        <v/>
      </c>
      <c r="M44" s="157" t="str">
        <f t="shared" si="35"/>
        <v/>
      </c>
      <c r="N44" s="87"/>
    </row>
    <row r="45" spans="1:14" ht="15.75" customHeight="1" x14ac:dyDescent="0.4">
      <c r="A45" s="4"/>
      <c r="B45" s="94" t="s">
        <v>112</v>
      </c>
      <c r="C45" s="157">
        <f t="shared" ref="C45:M45" si="36">IF(C6="","",MAX(C16,0)/C6)</f>
        <v>0</v>
      </c>
      <c r="D45" s="157">
        <f t="shared" si="36"/>
        <v>0</v>
      </c>
      <c r="E45" s="157" t="str">
        <f t="shared" si="36"/>
        <v/>
      </c>
      <c r="F45" s="157" t="str">
        <f t="shared" si="36"/>
        <v/>
      </c>
      <c r="G45" s="157" t="str">
        <f t="shared" si="36"/>
        <v/>
      </c>
      <c r="H45" s="157" t="str">
        <f t="shared" si="36"/>
        <v/>
      </c>
      <c r="I45" s="157" t="str">
        <f t="shared" si="36"/>
        <v/>
      </c>
      <c r="J45" s="157" t="str">
        <f t="shared" si="36"/>
        <v/>
      </c>
      <c r="K45" s="157" t="str">
        <f t="shared" si="36"/>
        <v/>
      </c>
      <c r="L45" s="157" t="str">
        <f t="shared" si="36"/>
        <v/>
      </c>
      <c r="M45" s="157" t="str">
        <f t="shared" si="36"/>
        <v/>
      </c>
      <c r="N45" s="87"/>
    </row>
    <row r="46" spans="1:14" ht="15.75" customHeight="1" x14ac:dyDescent="0.4">
      <c r="A46" s="4"/>
      <c r="B46" s="94" t="s">
        <v>127</v>
      </c>
      <c r="C46" s="157">
        <f t="shared" ref="C46:M46" si="37">IF(C6="","",C17/C6)</f>
        <v>0.39159225009737869</v>
      </c>
      <c r="D46" s="157">
        <f t="shared" si="37"/>
        <v>0.21004368799490306</v>
      </c>
      <c r="E46" s="157" t="str">
        <f t="shared" si="37"/>
        <v/>
      </c>
      <c r="F46" s="157" t="str">
        <f t="shared" si="37"/>
        <v/>
      </c>
      <c r="G46" s="157" t="str">
        <f t="shared" si="37"/>
        <v/>
      </c>
      <c r="H46" s="157" t="str">
        <f t="shared" si="37"/>
        <v/>
      </c>
      <c r="I46" s="157" t="str">
        <f t="shared" si="37"/>
        <v/>
      </c>
      <c r="J46" s="157" t="str">
        <f t="shared" si="37"/>
        <v/>
      </c>
      <c r="K46" s="157" t="str">
        <f t="shared" si="37"/>
        <v/>
      </c>
      <c r="L46" s="157" t="str">
        <f t="shared" si="37"/>
        <v/>
      </c>
      <c r="M46" s="157" t="str">
        <f t="shared" si="37"/>
        <v/>
      </c>
      <c r="N46" s="87"/>
    </row>
    <row r="47" spans="1:14" ht="15.75" customHeight="1" x14ac:dyDescent="0.4">
      <c r="A47" s="4"/>
      <c r="B47" s="94" t="s">
        <v>139</v>
      </c>
      <c r="C47" s="157">
        <f>IF(C6="","",MAX(C18,0)/(1-Fin_Analysis!$I$84)/C6)</f>
        <v>0</v>
      </c>
      <c r="D47" s="157">
        <f>IF(D6="","",MAX(D18,0)/(1-Fin_Analysis!$I$84)/D6)</f>
        <v>0</v>
      </c>
      <c r="E47" s="157" t="str">
        <f>IF(E6="","",MAX(E18,0)/(1-Fin_Analysis!$I$84)/E6)</f>
        <v/>
      </c>
      <c r="F47" s="157" t="str">
        <f>IF(F6="","",MAX(F18,0)/(1-Fin_Analysis!$I$84)/F6)</f>
        <v/>
      </c>
      <c r="G47" s="157" t="str">
        <f>IF(G6="","",MAX(G18,0)/(1-Fin_Analysis!$I$84)/G6)</f>
        <v/>
      </c>
      <c r="H47" s="157" t="str">
        <f>IF(H6="","",MAX(H18,0)/(1-Fin_Analysis!$I$84)/H6)</f>
        <v/>
      </c>
      <c r="I47" s="157" t="str">
        <f>IF(I6="","",MAX(I18,0)/(1-Fin_Analysis!$I$84)/I6)</f>
        <v/>
      </c>
      <c r="J47" s="157" t="str">
        <f>IF(J6="","",MAX(J18,0)/(1-Fin_Analysis!$I$84)/J6)</f>
        <v/>
      </c>
      <c r="K47" s="157" t="str">
        <f>IF(K6="","",MAX(K18,0)/(1-Fin_Analysis!$I$84)/K6)</f>
        <v/>
      </c>
      <c r="L47" s="157" t="str">
        <f>IF(L6="","",MAX(L18,0)/(1-Fin_Analysis!$I$84)/L6)</f>
        <v/>
      </c>
      <c r="M47" s="157" t="str">
        <f>IF(M6="","",MAX(M18,0)/(1-Fin_Analysis!$I$84)/M6)</f>
        <v/>
      </c>
      <c r="N47" s="87"/>
    </row>
    <row r="48" spans="1:14" ht="15.75" customHeight="1" x14ac:dyDescent="0.4">
      <c r="A48" s="4"/>
      <c r="B48" s="94" t="s">
        <v>130</v>
      </c>
      <c r="C48" s="157">
        <f t="shared" ref="C48:M48" si="38">IF(C6="","",C21/C6)</f>
        <v>0.35546835552606143</v>
      </c>
      <c r="D48" s="157">
        <f t="shared" si="38"/>
        <v>0.42418312551196868</v>
      </c>
      <c r="E48" s="157" t="str">
        <f t="shared" si="38"/>
        <v/>
      </c>
      <c r="F48" s="157" t="str">
        <f t="shared" si="38"/>
        <v/>
      </c>
      <c r="G48" s="157" t="str">
        <f t="shared" si="38"/>
        <v/>
      </c>
      <c r="H48" s="157" t="str">
        <f t="shared" si="38"/>
        <v/>
      </c>
      <c r="I48" s="157" t="str">
        <f t="shared" si="38"/>
        <v/>
      </c>
      <c r="J48" s="157" t="str">
        <f t="shared" si="38"/>
        <v/>
      </c>
      <c r="K48" s="157" t="str">
        <f t="shared" si="38"/>
        <v/>
      </c>
      <c r="L48" s="157" t="str">
        <f t="shared" si="38"/>
        <v/>
      </c>
      <c r="M48" s="157" t="str">
        <f t="shared" si="38"/>
        <v/>
      </c>
      <c r="N48" s="87"/>
    </row>
    <row r="49" spans="1:14" ht="15.75" customHeight="1" x14ac:dyDescent="0.4">
      <c r="A49" s="16"/>
      <c r="B49" s="103" t="s">
        <v>160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157</v>
      </c>
      <c r="C50" s="161">
        <f>IF(C29="","",C29/C6)</f>
        <v>0</v>
      </c>
      <c r="D50" s="161" t="str">
        <f t="shared" ref="D50:M50" si="39">IF(D29="","",D29/D6)</f>
        <v/>
      </c>
      <c r="E50" s="161" t="str">
        <f t="shared" si="39"/>
        <v/>
      </c>
      <c r="F50" s="161" t="str">
        <f t="shared" si="39"/>
        <v/>
      </c>
      <c r="G50" s="161" t="str">
        <f t="shared" si="39"/>
        <v/>
      </c>
      <c r="H50" s="161" t="str">
        <f t="shared" si="39"/>
        <v/>
      </c>
      <c r="I50" s="161" t="str">
        <f t="shared" si="39"/>
        <v/>
      </c>
      <c r="J50" s="161" t="str">
        <f t="shared" si="39"/>
        <v/>
      </c>
      <c r="K50" s="161" t="str">
        <f t="shared" si="39"/>
        <v/>
      </c>
      <c r="L50" s="161" t="str">
        <f t="shared" si="39"/>
        <v/>
      </c>
      <c r="M50" s="161" t="str">
        <f t="shared" si="39"/>
        <v/>
      </c>
      <c r="N50" s="87"/>
    </row>
    <row r="51" spans="1:14" ht="15.75" customHeight="1" x14ac:dyDescent="0.4">
      <c r="A51" s="4"/>
      <c r="B51" s="94" t="s">
        <v>158</v>
      </c>
      <c r="C51" s="157">
        <f>IF(C30="","",C30/C6)</f>
        <v>0</v>
      </c>
      <c r="D51" s="157" t="str">
        <f t="shared" ref="D51:M51" si="40">IF(D30="","",D30/D6)</f>
        <v/>
      </c>
      <c r="E51" s="157" t="str">
        <f t="shared" si="40"/>
        <v/>
      </c>
      <c r="F51" s="157" t="str">
        <f t="shared" si="40"/>
        <v/>
      </c>
      <c r="G51" s="157" t="str">
        <f t="shared" si="40"/>
        <v/>
      </c>
      <c r="H51" s="157" t="str">
        <f t="shared" si="40"/>
        <v/>
      </c>
      <c r="I51" s="157" t="str">
        <f t="shared" si="40"/>
        <v/>
      </c>
      <c r="J51" s="157" t="str">
        <f t="shared" si="40"/>
        <v/>
      </c>
      <c r="K51" s="157" t="str">
        <f t="shared" si="40"/>
        <v/>
      </c>
      <c r="L51" s="157" t="str">
        <f t="shared" si="40"/>
        <v/>
      </c>
      <c r="M51" s="157" t="str">
        <f t="shared" si="40"/>
        <v/>
      </c>
      <c r="N51" s="87"/>
    </row>
    <row r="52" spans="1:14" ht="15.75" customHeight="1" x14ac:dyDescent="0.4">
      <c r="A52" s="16"/>
      <c r="B52" s="103" t="s">
        <v>131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61" t="e">
        <f>IF(C36="","",(C27-C36)/C27)</f>
        <v>#DIV/0!</v>
      </c>
      <c r="D53" s="161" t="str">
        <f t="shared" ref="D53:M53" si="41">IF(D36="","",(D27-D36)/D27)</f>
        <v/>
      </c>
      <c r="E53" s="161" t="str">
        <f t="shared" si="41"/>
        <v/>
      </c>
      <c r="F53" s="161" t="str">
        <f t="shared" si="41"/>
        <v/>
      </c>
      <c r="G53" s="161" t="str">
        <f t="shared" si="41"/>
        <v/>
      </c>
      <c r="H53" s="161" t="str">
        <f t="shared" si="41"/>
        <v/>
      </c>
      <c r="I53" s="161" t="str">
        <f t="shared" si="41"/>
        <v/>
      </c>
      <c r="J53" s="161" t="str">
        <f t="shared" si="41"/>
        <v/>
      </c>
      <c r="K53" s="161" t="str">
        <f t="shared" si="41"/>
        <v/>
      </c>
      <c r="L53" s="161" t="str">
        <f t="shared" si="41"/>
        <v/>
      </c>
      <c r="M53" s="161" t="str">
        <f t="shared" si="41"/>
        <v/>
      </c>
    </row>
    <row r="54" spans="1:14" ht="15.75" customHeight="1" x14ac:dyDescent="0.4">
      <c r="A54" s="4"/>
      <c r="B54" s="94" t="s">
        <v>125</v>
      </c>
      <c r="C54" s="162" t="str">
        <f>IF(OR(C21="",C35=""),"",IF(C35&lt;=0,"-",C21/C35))</f>
        <v>-</v>
      </c>
      <c r="D54" s="162" t="str">
        <f t="shared" ref="D54:M54" si="42">IF(OR(D21="",D35=""),"",IF(D35&lt;=0,"-",D21/D35))</f>
        <v/>
      </c>
      <c r="E54" s="162" t="str">
        <f t="shared" si="42"/>
        <v/>
      </c>
      <c r="F54" s="162" t="str">
        <f t="shared" si="42"/>
        <v/>
      </c>
      <c r="G54" s="162" t="str">
        <f t="shared" si="42"/>
        <v/>
      </c>
      <c r="H54" s="162" t="str">
        <f t="shared" si="42"/>
        <v/>
      </c>
      <c r="I54" s="162" t="str">
        <f t="shared" si="42"/>
        <v/>
      </c>
      <c r="J54" s="162" t="str">
        <f t="shared" si="42"/>
        <v/>
      </c>
      <c r="K54" s="162" t="str">
        <f t="shared" si="42"/>
        <v/>
      </c>
      <c r="L54" s="162" t="str">
        <f t="shared" si="42"/>
        <v/>
      </c>
      <c r="M54" s="162" t="str">
        <f t="shared" si="42"/>
        <v/>
      </c>
    </row>
    <row r="55" spans="1:14" ht="15.75" customHeight="1" x14ac:dyDescent="0.4">
      <c r="A55" s="4"/>
      <c r="B55" s="94" t="s">
        <v>128</v>
      </c>
      <c r="C55" s="157">
        <f t="shared" ref="C55:M55" si="43">IF(C21="","",IF(C17&lt;=0,"-",C17/C21))</f>
        <v>1.1016233766233767</v>
      </c>
      <c r="D55" s="157">
        <f t="shared" si="43"/>
        <v>0.49517219182491151</v>
      </c>
      <c r="E55" s="157" t="str">
        <f t="shared" si="43"/>
        <v/>
      </c>
      <c r="F55" s="157" t="str">
        <f t="shared" si="43"/>
        <v/>
      </c>
      <c r="G55" s="157" t="str">
        <f t="shared" si="43"/>
        <v/>
      </c>
      <c r="H55" s="157" t="str">
        <f t="shared" si="43"/>
        <v/>
      </c>
      <c r="I55" s="157" t="str">
        <f t="shared" si="43"/>
        <v/>
      </c>
      <c r="J55" s="157" t="str">
        <f t="shared" si="43"/>
        <v/>
      </c>
      <c r="K55" s="157" t="str">
        <f t="shared" si="43"/>
        <v/>
      </c>
      <c r="L55" s="157" t="str">
        <f t="shared" si="43"/>
        <v/>
      </c>
      <c r="M55" s="157" t="str">
        <f t="shared" si="43"/>
        <v/>
      </c>
    </row>
    <row r="56" spans="1:14" ht="15.75" customHeight="1" x14ac:dyDescent="0.4">
      <c r="A56" s="4"/>
      <c r="B56" s="98" t="s">
        <v>21</v>
      </c>
      <c r="C56" s="163" t="e">
        <f t="shared" ref="C56:M56" si="44">IF(C28="","",C28/C31)</f>
        <v>#DIV/0!</v>
      </c>
      <c r="D56" s="163" t="str">
        <f t="shared" si="44"/>
        <v/>
      </c>
      <c r="E56" s="163" t="str">
        <f t="shared" si="44"/>
        <v/>
      </c>
      <c r="F56" s="163" t="str">
        <f t="shared" si="44"/>
        <v/>
      </c>
      <c r="G56" s="163" t="str">
        <f t="shared" si="44"/>
        <v/>
      </c>
      <c r="H56" s="163" t="str">
        <f t="shared" si="44"/>
        <v/>
      </c>
      <c r="I56" s="163" t="str">
        <f t="shared" si="44"/>
        <v/>
      </c>
      <c r="J56" s="163" t="str">
        <f t="shared" si="44"/>
        <v/>
      </c>
      <c r="K56" s="163" t="str">
        <f t="shared" si="44"/>
        <v/>
      </c>
      <c r="L56" s="163" t="str">
        <f t="shared" si="44"/>
        <v/>
      </c>
      <c r="M56" s="163" t="str">
        <f t="shared" si="44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9" priority="4">
      <formula>LEN(TRIM(C6))=0</formula>
    </cfRule>
  </conditionalFormatting>
  <conditionalFormatting sqref="C25:M25">
    <cfRule type="containsBlanks" dxfId="8" priority="3">
      <formula>LEN(TRIM(C25))=0</formula>
    </cfRule>
  </conditionalFormatting>
  <conditionalFormatting sqref="D24:M24">
    <cfRule type="containsBlanks" dxfId="7" priority="2">
      <formula>LEN(TRIM(D24))=0</formula>
    </cfRule>
  </conditionalFormatting>
  <conditionalFormatting sqref="F4">
    <cfRule type="containsBlanks" dxfId="6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abSelected="1" topLeftCell="B73" zoomScaleNormal="100" workbookViewId="0">
      <selection activeCell="F102" sqref="F10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7">
        <f>C49-I49</f>
        <v>0</v>
      </c>
      <c r="E3" s="67" t="str">
        <f>IF((C49-I49)=D3,"", "Error!")</f>
        <v/>
      </c>
      <c r="F3" s="87"/>
      <c r="G3" s="87"/>
      <c r="H3" s="47" t="s">
        <v>24</v>
      </c>
      <c r="I3" s="213">
        <f>Inputs!C76</f>
        <v>0</v>
      </c>
      <c r="K3" s="24"/>
    </row>
    <row r="4" spans="1:11" ht="15" customHeight="1" x14ac:dyDescent="0.4">
      <c r="B4" s="3" t="s">
        <v>25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 t="e">
        <f>C28/I28</f>
        <v>#DIV/0!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30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12">
        <f>Inputs!C14</f>
        <v>45473</v>
      </c>
      <c r="E9" s="120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213</v>
      </c>
      <c r="E10" s="74" t="s">
        <v>35</v>
      </c>
      <c r="F10" s="112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Inputs!C40</f>
        <v>0</v>
      </c>
      <c r="D11" s="207">
        <f>Inputs!D40</f>
        <v>1</v>
      </c>
      <c r="E11" s="88">
        <f t="shared" ref="E11:E21" si="0">C11*D11</f>
        <v>0</v>
      </c>
      <c r="F11" s="113"/>
      <c r="G11" s="87"/>
      <c r="H11" s="3" t="s">
        <v>39</v>
      </c>
      <c r="I11" s="40">
        <f>Inputs!C66</f>
        <v>0</v>
      </c>
      <c r="J11" s="87"/>
      <c r="K11" s="24"/>
    </row>
    <row r="12" spans="1:11" ht="13.9" x14ac:dyDescent="0.4">
      <c r="B12" s="1" t="s">
        <v>146</v>
      </c>
      <c r="C12" s="40">
        <f>Inputs!C41</f>
        <v>0</v>
      </c>
      <c r="D12" s="207">
        <f>Inputs!D41</f>
        <v>0.95</v>
      </c>
      <c r="E12" s="88">
        <f t="shared" si="0"/>
        <v>0</v>
      </c>
      <c r="F12" s="113"/>
      <c r="G12" s="87"/>
      <c r="H12" s="3" t="s">
        <v>40</v>
      </c>
      <c r="I12" s="40">
        <f>Inputs!C67</f>
        <v>0</v>
      </c>
      <c r="J12" s="87"/>
      <c r="K12" s="24"/>
    </row>
    <row r="13" spans="1:11" ht="13.9" x14ac:dyDescent="0.4">
      <c r="B13" s="3" t="s">
        <v>121</v>
      </c>
      <c r="C13" s="40">
        <f>Inputs!C42</f>
        <v>0</v>
      </c>
      <c r="D13" s="207">
        <f>Inputs!D42</f>
        <v>0.8</v>
      </c>
      <c r="E13" s="88">
        <f t="shared" si="0"/>
        <v>0</v>
      </c>
      <c r="F13" s="113"/>
      <c r="G13" s="87"/>
      <c r="H13" s="3" t="s">
        <v>41</v>
      </c>
      <c r="I13" s="40">
        <f>Inputs!C68</f>
        <v>0</v>
      </c>
      <c r="J13" s="87"/>
      <c r="K13" s="26"/>
    </row>
    <row r="14" spans="1:11" ht="13.9" x14ac:dyDescent="0.4">
      <c r="B14" s="3" t="s">
        <v>42</v>
      </c>
      <c r="C14" s="40">
        <f>Inputs!C43</f>
        <v>0</v>
      </c>
      <c r="D14" s="207">
        <f>Inputs!D43</f>
        <v>0.3</v>
      </c>
      <c r="E14" s="88">
        <f>C14*D14</f>
        <v>0</v>
      </c>
      <c r="F14" s="113"/>
      <c r="G14" s="87"/>
      <c r="H14" s="86" t="s">
        <v>43</v>
      </c>
      <c r="I14" s="214">
        <f>Inputs!C69</f>
        <v>0</v>
      </c>
      <c r="J14" s="87"/>
      <c r="K14" s="27"/>
    </row>
    <row r="15" spans="1:11" ht="13.9" x14ac:dyDescent="0.4">
      <c r="B15" s="3" t="s">
        <v>44</v>
      </c>
      <c r="C15" s="40">
        <f>Inputs!C44</f>
        <v>0</v>
      </c>
      <c r="D15" s="207">
        <f>Inputs!D44</f>
        <v>0.05</v>
      </c>
      <c r="E15" s="88">
        <f>C15*D15</f>
        <v>0</v>
      </c>
      <c r="F15" s="113"/>
      <c r="G15" s="87"/>
      <c r="H15" s="1" t="s">
        <v>54</v>
      </c>
      <c r="I15" s="84">
        <f>SUM(I11:I14)</f>
        <v>0</v>
      </c>
      <c r="J15" s="87"/>
    </row>
    <row r="16" spans="1:11" ht="13.9" x14ac:dyDescent="0.4">
      <c r="B16" s="1" t="s">
        <v>170</v>
      </c>
      <c r="C16" s="40">
        <f>Inputs!C45</f>
        <v>0</v>
      </c>
      <c r="D16" s="207">
        <f>Inputs!D45</f>
        <v>0.5</v>
      </c>
      <c r="E16" s="88">
        <f t="shared" si="0"/>
        <v>0</v>
      </c>
      <c r="F16" s="113"/>
      <c r="G16" s="30"/>
      <c r="H16" s="3"/>
      <c r="I16" s="40"/>
      <c r="J16" s="87"/>
    </row>
    <row r="17" spans="2:10" ht="13.9" x14ac:dyDescent="0.4">
      <c r="B17" s="3" t="s">
        <v>122</v>
      </c>
      <c r="C17" s="40">
        <f>Inputs!C46</f>
        <v>0</v>
      </c>
      <c r="D17" s="207">
        <f>Inputs!D46</f>
        <v>0.1</v>
      </c>
      <c r="E17" s="88">
        <f t="shared" si="0"/>
        <v>0</v>
      </c>
      <c r="F17" s="113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Inputs!C47</f>
        <v>0</v>
      </c>
      <c r="D18" s="207">
        <f>Inputs!D47</f>
        <v>0.5</v>
      </c>
      <c r="E18" s="88">
        <f t="shared" si="0"/>
        <v>0</v>
      </c>
      <c r="F18" s="113"/>
      <c r="G18" s="87"/>
      <c r="H18" s="87"/>
      <c r="I18" s="87"/>
    </row>
    <row r="19" spans="2:10" ht="13.9" x14ac:dyDescent="0.4">
      <c r="B19" s="1" t="s">
        <v>48</v>
      </c>
      <c r="C19" s="40">
        <f>Inputs!C48</f>
        <v>0</v>
      </c>
      <c r="D19" s="207">
        <f>Inputs!D48</f>
        <v>0.75</v>
      </c>
      <c r="E19" s="88">
        <f t="shared" si="0"/>
        <v>0</v>
      </c>
      <c r="F19" s="230" t="s">
        <v>46</v>
      </c>
      <c r="G19" s="30">
        <f>IF(F19="Y",0,1)</f>
        <v>0</v>
      </c>
    </row>
    <row r="20" spans="2:10" ht="13.9" x14ac:dyDescent="0.4">
      <c r="B20" s="3" t="s">
        <v>124</v>
      </c>
      <c r="C20" s="40">
        <f>Inputs!C49</f>
        <v>0</v>
      </c>
      <c r="D20" s="207">
        <f>Inputs!D49</f>
        <v>0.6</v>
      </c>
      <c r="E20" s="88">
        <f t="shared" si="0"/>
        <v>0</v>
      </c>
      <c r="F20" s="230" t="s">
        <v>46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Inputs!C50</f>
        <v>0</v>
      </c>
      <c r="D21" s="207">
        <f>Inputs!D50</f>
        <v>0.95</v>
      </c>
      <c r="E21" s="88">
        <f t="shared" si="0"/>
        <v>0</v>
      </c>
      <c r="F21" s="113"/>
      <c r="G21" s="87"/>
      <c r="H21" s="3"/>
      <c r="I21" s="40"/>
    </row>
    <row r="22" spans="2:10" ht="15" customHeight="1" x14ac:dyDescent="0.4">
      <c r="B22" s="3" t="s">
        <v>51</v>
      </c>
      <c r="C22" s="40">
        <f>Inputs!C51</f>
        <v>0</v>
      </c>
      <c r="D22" s="207">
        <f>Inputs!D51</f>
        <v>0.2</v>
      </c>
      <c r="E22" s="88">
        <f t="shared" ref="E22" si="1">C22*D22</f>
        <v>0</v>
      </c>
      <c r="F22" s="113"/>
      <c r="G22" s="87"/>
      <c r="H22" s="3" t="s">
        <v>45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2" t="s">
        <v>52</v>
      </c>
      <c r="G23" s="87"/>
    </row>
    <row r="24" spans="2:10" ht="15" customHeight="1" x14ac:dyDescent="0.4">
      <c r="B24" s="23" t="s">
        <v>53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4" t="e">
        <f>E24/$E$28</f>
        <v>#DIV/0!</v>
      </c>
      <c r="G24" s="87"/>
    </row>
    <row r="25" spans="2:10" ht="15" customHeight="1" x14ac:dyDescent="0.4">
      <c r="B25" s="23" t="s">
        <v>55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4" t="e">
        <f t="shared" ref="F25:F27" si="2">E25/$E$28</f>
        <v>#DIV/0!</v>
      </c>
      <c r="G25" s="87"/>
      <c r="H25" s="23" t="s">
        <v>56</v>
      </c>
      <c r="I25" s="63" t="e">
        <f>E28/I28</f>
        <v>#DIV/0!</v>
      </c>
    </row>
    <row r="26" spans="2:10" ht="15" customHeight="1" x14ac:dyDescent="0.4">
      <c r="B26" s="23" t="s">
        <v>57</v>
      </c>
      <c r="C26" s="61">
        <f>C18+C19+C20</f>
        <v>0</v>
      </c>
      <c r="D26" s="62">
        <f t="shared" ref="D26:D27" si="3">IF(E26=0,0,E26/C26)</f>
        <v>0</v>
      </c>
      <c r="E26" s="88">
        <f>E18+E19+E20</f>
        <v>0</v>
      </c>
      <c r="F26" s="114" t="e">
        <f t="shared" si="2"/>
        <v>#DIV/0!</v>
      </c>
      <c r="G26" s="87"/>
      <c r="H26" s="23" t="s">
        <v>58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59</v>
      </c>
      <c r="C27" s="77">
        <f>C21+C22</f>
        <v>0</v>
      </c>
      <c r="D27" s="62">
        <f t="shared" si="3"/>
        <v>0</v>
      </c>
      <c r="E27" s="88">
        <f>E21+E22</f>
        <v>0</v>
      </c>
      <c r="F27" s="114" t="e">
        <f t="shared" si="2"/>
        <v>#DIV/0!</v>
      </c>
      <c r="G27" s="87"/>
      <c r="H27" s="23" t="s">
        <v>60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 t="shared" ref="D28" si="4">E28/C28</f>
        <v>#DIV/0!</v>
      </c>
      <c r="E28" s="70">
        <f>SUM(E24:E27)</f>
        <v>0</v>
      </c>
      <c r="F28" s="113"/>
      <c r="G28" s="87"/>
      <c r="H28" s="78" t="s">
        <v>16</v>
      </c>
      <c r="I28" s="215">
        <f>Inputs!C70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3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Inputs!C52</f>
        <v>0</v>
      </c>
      <c r="D30" s="207">
        <f>Inputs!D52</f>
        <v>0.95</v>
      </c>
      <c r="E30" s="88">
        <v>0</v>
      </c>
      <c r="F30" s="113"/>
      <c r="G30" s="87"/>
      <c r="H30" s="3" t="s">
        <v>62</v>
      </c>
      <c r="I30" s="40">
        <f>Inputs!C71</f>
        <v>0</v>
      </c>
      <c r="J30" s="87"/>
    </row>
    <row r="31" spans="2:10" ht="15" customHeight="1" x14ac:dyDescent="0.4">
      <c r="B31" s="3" t="s">
        <v>63</v>
      </c>
      <c r="C31" s="40">
        <f>Inputs!C53</f>
        <v>0</v>
      </c>
      <c r="D31" s="207">
        <f>Inputs!D53</f>
        <v>0.5</v>
      </c>
      <c r="E31" s="88">
        <f t="shared" ref="E31:E42" si="5">C31*D31</f>
        <v>0</v>
      </c>
      <c r="F31" s="113"/>
      <c r="G31" s="87"/>
      <c r="H31" s="3" t="s">
        <v>64</v>
      </c>
      <c r="I31" s="40">
        <f>Inputs!C72</f>
        <v>0</v>
      </c>
      <c r="J31" s="87"/>
    </row>
    <row r="32" spans="2:10" ht="15" customHeight="1" x14ac:dyDescent="0.4">
      <c r="B32" s="3" t="s">
        <v>65</v>
      </c>
      <c r="C32" s="40">
        <f>Inputs!C54</f>
        <v>0</v>
      </c>
      <c r="D32" s="207">
        <f>Inputs!D54</f>
        <v>0.4</v>
      </c>
      <c r="E32" s="88">
        <f t="shared" si="5"/>
        <v>0</v>
      </c>
      <c r="F32" s="113"/>
      <c r="G32" s="87"/>
      <c r="H32" s="3" t="s">
        <v>66</v>
      </c>
      <c r="I32" s="40">
        <f>Inputs!C73</f>
        <v>0</v>
      </c>
      <c r="J32" s="87"/>
    </row>
    <row r="33" spans="2:10" ht="13.9" x14ac:dyDescent="0.4">
      <c r="B33" s="1" t="s">
        <v>171</v>
      </c>
      <c r="C33" s="40">
        <f>Inputs!C55</f>
        <v>0</v>
      </c>
      <c r="D33" s="207">
        <f>Inputs!D55</f>
        <v>0.5</v>
      </c>
      <c r="E33" s="88">
        <f t="shared" si="5"/>
        <v>0</v>
      </c>
      <c r="F33" s="113"/>
      <c r="G33" s="30">
        <f>IF(F33="Y",0,1)</f>
        <v>1</v>
      </c>
      <c r="H33" s="86" t="s">
        <v>67</v>
      </c>
      <c r="I33" s="214">
        <f>Inputs!C74</f>
        <v>0</v>
      </c>
      <c r="J33" s="87"/>
    </row>
    <row r="34" spans="2:10" ht="13.9" x14ac:dyDescent="0.4">
      <c r="B34" s="3" t="s">
        <v>68</v>
      </c>
      <c r="C34" s="40">
        <f>Inputs!C56</f>
        <v>0</v>
      </c>
      <c r="D34" s="207">
        <f>Inputs!D56</f>
        <v>0</v>
      </c>
      <c r="E34" s="88">
        <f t="shared" si="5"/>
        <v>0</v>
      </c>
      <c r="F34" s="113"/>
      <c r="G34" s="87"/>
      <c r="H34" s="1" t="s">
        <v>78</v>
      </c>
      <c r="I34" s="84">
        <f>SUM(I30:I33)</f>
        <v>0</v>
      </c>
      <c r="J34" s="87"/>
    </row>
    <row r="35" spans="2:10" ht="13.9" x14ac:dyDescent="0.4">
      <c r="B35" s="3" t="s">
        <v>70</v>
      </c>
      <c r="C35" s="40">
        <f>Inputs!C57</f>
        <v>0</v>
      </c>
      <c r="D35" s="207">
        <f>Inputs!D57</f>
        <v>0.1</v>
      </c>
      <c r="E35" s="88">
        <f t="shared" si="5"/>
        <v>0</v>
      </c>
      <c r="F35" s="230" t="s">
        <v>71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Inputs!C58</f>
        <v>0</v>
      </c>
      <c r="D36" s="207">
        <f>Inputs!D58</f>
        <v>0.2</v>
      </c>
      <c r="E36" s="88">
        <f t="shared" si="5"/>
        <v>0</v>
      </c>
      <c r="F36" s="230" t="s">
        <v>71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Inputs!C59</f>
        <v>0</v>
      </c>
      <c r="D37" s="207">
        <f>Inputs!D59</f>
        <v>0.05</v>
      </c>
      <c r="E37" s="88">
        <f>C37*D37</f>
        <v>0</v>
      </c>
      <c r="F37" s="230" t="s">
        <v>46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123</v>
      </c>
      <c r="C38" s="40">
        <f>Inputs!C60</f>
        <v>0</v>
      </c>
      <c r="D38" s="207">
        <f>Inputs!D60</f>
        <v>0.1</v>
      </c>
      <c r="E38" s="88">
        <f>C38*D38</f>
        <v>0</v>
      </c>
      <c r="F38" s="113"/>
      <c r="G38" s="87"/>
      <c r="H38" s="87"/>
      <c r="I38" s="87"/>
    </row>
    <row r="39" spans="2:10" ht="13.9" x14ac:dyDescent="0.4">
      <c r="B39" s="3" t="s">
        <v>73</v>
      </c>
      <c r="C39" s="40">
        <f>Inputs!C61</f>
        <v>0</v>
      </c>
      <c r="D39" s="207">
        <f>Inputs!D61</f>
        <v>0.05</v>
      </c>
      <c r="E39" s="88">
        <f t="shared" si="5"/>
        <v>0</v>
      </c>
      <c r="F39" s="113"/>
      <c r="G39" s="87"/>
      <c r="H39" s="87"/>
      <c r="I39" s="87"/>
    </row>
    <row r="40" spans="2:10" ht="15" customHeight="1" x14ac:dyDescent="0.4">
      <c r="B40" s="3" t="s">
        <v>74</v>
      </c>
      <c r="C40" s="40">
        <f>Inputs!C62</f>
        <v>0</v>
      </c>
      <c r="D40" s="207">
        <f>Inputs!D62</f>
        <v>0.05</v>
      </c>
      <c r="E40" s="88">
        <f t="shared" si="5"/>
        <v>0</v>
      </c>
      <c r="F40" s="113"/>
      <c r="G40" s="87"/>
      <c r="H40" s="87"/>
      <c r="I40" s="87"/>
    </row>
    <row r="41" spans="2:10" ht="15" customHeight="1" x14ac:dyDescent="0.4">
      <c r="B41" s="3" t="s">
        <v>75</v>
      </c>
      <c r="C41" s="40">
        <f>Inputs!C63</f>
        <v>0</v>
      </c>
      <c r="D41" s="207">
        <f>Inputs!D63</f>
        <v>0.95</v>
      </c>
      <c r="E41" s="88">
        <f t="shared" si="5"/>
        <v>0</v>
      </c>
      <c r="F41" s="113"/>
      <c r="G41" s="87"/>
      <c r="H41" s="87"/>
      <c r="I41" s="87"/>
    </row>
    <row r="42" spans="2:10" ht="15" customHeight="1" x14ac:dyDescent="0.4">
      <c r="B42" s="3" t="s">
        <v>76</v>
      </c>
      <c r="C42" s="40">
        <f>Inputs!C64</f>
        <v>0</v>
      </c>
      <c r="D42" s="207">
        <f>Inputs!D64</f>
        <v>0</v>
      </c>
      <c r="E42" s="88">
        <f t="shared" si="5"/>
        <v>0</v>
      </c>
      <c r="F42" s="113"/>
      <c r="G42" s="87"/>
      <c r="H42" s="3" t="s">
        <v>69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0</v>
      </c>
      <c r="D46" s="62">
        <f t="shared" ref="D46:D47" si="6">IF(E46=0,0,E46/C46)</f>
        <v>0</v>
      </c>
      <c r="E46" s="88">
        <f>E36+E37+E38+E39</f>
        <v>0</v>
      </c>
      <c r="F46" s="87"/>
      <c r="G46" s="87"/>
      <c r="H46" s="23" t="s">
        <v>81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82</v>
      </c>
      <c r="C47" s="61">
        <f>C40+C41+C42</f>
        <v>0</v>
      </c>
      <c r="D47" s="62">
        <f t="shared" si="6"/>
        <v>0</v>
      </c>
      <c r="E47" s="88">
        <f>E40+E41+E42</f>
        <v>0</v>
      </c>
      <c r="F47" s="87"/>
      <c r="G47" s="87"/>
      <c r="H47" s="23" t="s">
        <v>83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84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85</v>
      </c>
      <c r="I48" s="216">
        <f>Inputs!C75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86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161</v>
      </c>
      <c r="C55" s="3"/>
      <c r="E55" s="126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48">
        <f>I15+I34</f>
        <v>0</v>
      </c>
      <c r="E56" s="246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47">
        <f>Inputs!C77</f>
        <v>0</v>
      </c>
      <c r="E57" s="246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47">
        <f>Inputs!C78</f>
        <v>0</v>
      </c>
      <c r="E58" s="24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164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7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150</v>
      </c>
      <c r="C62" s="118">
        <f>C11+C30</f>
        <v>0</v>
      </c>
      <c r="D62" s="108">
        <f t="shared" si="7"/>
        <v>0</v>
      </c>
      <c r="E62" s="119">
        <f>E11+E30</f>
        <v>0</v>
      </c>
      <c r="F62" s="87"/>
      <c r="G62" s="87"/>
      <c r="I62" s="87"/>
      <c r="K62" s="33"/>
    </row>
    <row r="63" spans="2:11" ht="13.9" x14ac:dyDescent="0.4">
      <c r="B63" s="19" t="s">
        <v>152</v>
      </c>
      <c r="C63" s="68">
        <f>C61+C62</f>
        <v>0</v>
      </c>
      <c r="D63" s="29">
        <f t="shared" si="7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2" t="s">
        <v>162</v>
      </c>
      <c r="C64" s="217"/>
      <c r="D64" s="217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153</v>
      </c>
      <c r="C65" s="68">
        <f>C63-E64</f>
        <v>0</v>
      </c>
      <c r="D65" s="29">
        <f t="shared" si="7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165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151</v>
      </c>
      <c r="C68" s="68">
        <f>C49-C63</f>
        <v>0</v>
      </c>
      <c r="D68" s="29">
        <f t="shared" si="7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2" t="s">
        <v>163</v>
      </c>
      <c r="C69" s="217"/>
      <c r="D69" s="217"/>
      <c r="E69" s="127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154</v>
      </c>
      <c r="C70" s="68">
        <f>C68-E69</f>
        <v>0</v>
      </c>
      <c r="D70" s="29">
        <f t="shared" si="7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7" t="s">
        <v>137</v>
      </c>
      <c r="C72" s="251">
        <f>Data!C5</f>
        <v>45291</v>
      </c>
      <c r="D72" s="251"/>
      <c r="E72" s="249" t="s">
        <v>226</v>
      </c>
      <c r="F72" s="249"/>
      <c r="H72" s="249" t="s">
        <v>225</v>
      </c>
      <c r="I72" s="249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1000000HKD)</v>
      </c>
      <c r="C73" s="250" t="s">
        <v>103</v>
      </c>
      <c r="D73" s="250"/>
      <c r="E73" s="252" t="s">
        <v>104</v>
      </c>
      <c r="F73" s="250"/>
      <c r="H73" s="252" t="s">
        <v>104</v>
      </c>
      <c r="I73" s="250"/>
      <c r="K73" s="24"/>
    </row>
    <row r="74" spans="1:11" ht="15" customHeight="1" x14ac:dyDescent="0.4">
      <c r="B74" s="3" t="s">
        <v>136</v>
      </c>
      <c r="C74" s="77">
        <f>Data!C6</f>
        <v>69317</v>
      </c>
      <c r="D74" s="218"/>
      <c r="E74" s="205">
        <f>H74</f>
        <v>69317</v>
      </c>
      <c r="F74" s="218"/>
      <c r="H74" s="205">
        <f>C74</f>
        <v>69317</v>
      </c>
      <c r="I74" s="218"/>
      <c r="K74" s="24"/>
    </row>
    <row r="75" spans="1:11" ht="15" customHeight="1" x14ac:dyDescent="0.4">
      <c r="B75" s="105" t="s">
        <v>109</v>
      </c>
      <c r="C75" s="77">
        <f>Data!C8</f>
        <v>2909</v>
      </c>
      <c r="D75" s="164">
        <f>C75/$C$74</f>
        <v>4.1966617135767562E-2</v>
      </c>
      <c r="E75" s="186">
        <f>E74*F75</f>
        <v>2909</v>
      </c>
      <c r="F75" s="165">
        <f>I75</f>
        <v>4.1966617135767562E-2</v>
      </c>
      <c r="H75" s="205">
        <f>D75*H74</f>
        <v>2909</v>
      </c>
      <c r="I75" s="165">
        <f>H75/$H$74</f>
        <v>4.1966617135767562E-2</v>
      </c>
      <c r="K75" s="24"/>
    </row>
    <row r="76" spans="1:11" ht="15" customHeight="1" x14ac:dyDescent="0.4">
      <c r="B76" s="35" t="s">
        <v>96</v>
      </c>
      <c r="C76" s="166">
        <f>C74-C75</f>
        <v>66408</v>
      </c>
      <c r="D76" s="219"/>
      <c r="E76" s="167">
        <f>E74-E75</f>
        <v>66408</v>
      </c>
      <c r="F76" s="219"/>
      <c r="H76" s="167">
        <f>H74-H75</f>
        <v>66408</v>
      </c>
      <c r="I76" s="219"/>
      <c r="K76" s="24"/>
    </row>
    <row r="77" spans="1:11" ht="15" customHeight="1" x14ac:dyDescent="0.4">
      <c r="B77" s="105" t="s">
        <v>133</v>
      </c>
      <c r="C77" s="77">
        <f>Data!C10-MAX(Data!C12,0)</f>
        <v>14624</v>
      </c>
      <c r="D77" s="164">
        <f>C77/$C$74</f>
        <v>0.2109727772407923</v>
      </c>
      <c r="E77" s="186">
        <f>E74*F77</f>
        <v>14624</v>
      </c>
      <c r="F77" s="165">
        <f>I77</f>
        <v>0.2109727772407923</v>
      </c>
      <c r="H77" s="205">
        <f>D77*H74</f>
        <v>14624</v>
      </c>
      <c r="I77" s="165">
        <f>H77/$H$74</f>
        <v>0.2109727772407923</v>
      </c>
      <c r="K77" s="24"/>
    </row>
    <row r="78" spans="1:11" ht="15" customHeight="1" x14ac:dyDescent="0.4">
      <c r="B78" s="35" t="s">
        <v>97</v>
      </c>
      <c r="C78" s="166">
        <f>C76-C77</f>
        <v>51784</v>
      </c>
      <c r="D78" s="219"/>
      <c r="E78" s="167">
        <f>E76-E77</f>
        <v>51784</v>
      </c>
      <c r="F78" s="219"/>
      <c r="H78" s="167">
        <f>H76-H77</f>
        <v>51784</v>
      </c>
      <c r="I78" s="219"/>
      <c r="K78" s="24"/>
    </row>
    <row r="79" spans="1:11" ht="15" customHeight="1" x14ac:dyDescent="0.4">
      <c r="B79" s="105" t="s">
        <v>129</v>
      </c>
      <c r="C79" s="77">
        <f>MAX(Data!C17,0)</f>
        <v>27144</v>
      </c>
      <c r="D79" s="164">
        <f>C79/$C$74</f>
        <v>0.39159225009737869</v>
      </c>
      <c r="E79" s="186">
        <f>E74*F79</f>
        <v>27144</v>
      </c>
      <c r="F79" s="165">
        <f t="shared" ref="F79:F84" si="8">I79</f>
        <v>0.39159225009737869</v>
      </c>
      <c r="H79" s="205">
        <f>C79</f>
        <v>27144</v>
      </c>
      <c r="I79" s="165">
        <f>H79/$H$74</f>
        <v>0.39159225009737869</v>
      </c>
      <c r="K79" s="24"/>
    </row>
    <row r="80" spans="1:11" ht="15" customHeight="1" x14ac:dyDescent="0.4">
      <c r="B80" s="28" t="s">
        <v>135</v>
      </c>
      <c r="C80" s="77">
        <f>MAX(Data!C14,0)+MAX(Data!C15,0)</f>
        <v>0</v>
      </c>
      <c r="D80" s="164">
        <f>C80/$C$74</f>
        <v>0</v>
      </c>
      <c r="E80" s="186">
        <f>E74*F80</f>
        <v>0</v>
      </c>
      <c r="F80" s="165">
        <f t="shared" si="8"/>
        <v>0</v>
      </c>
      <c r="H80" s="205">
        <f>H74*D80</f>
        <v>0</v>
      </c>
      <c r="I80" s="165">
        <f>H80/$H$74</f>
        <v>0</v>
      </c>
      <c r="K80" s="24"/>
    </row>
    <row r="81" spans="1:11" ht="15" customHeight="1" x14ac:dyDescent="0.4">
      <c r="B81" s="28" t="s">
        <v>113</v>
      </c>
      <c r="C81" s="77">
        <f>MAX(Data!C16,0)</f>
        <v>0</v>
      </c>
      <c r="D81" s="164">
        <f>C81/$C$74</f>
        <v>0</v>
      </c>
      <c r="E81" s="186">
        <f>E74*F81</f>
        <v>0</v>
      </c>
      <c r="F81" s="165">
        <f t="shared" si="8"/>
        <v>0</v>
      </c>
      <c r="H81" s="205">
        <f>C81</f>
        <v>0</v>
      </c>
      <c r="I81" s="165">
        <f>H81/$H$74</f>
        <v>0</v>
      </c>
      <c r="K81" s="187" t="s">
        <v>141</v>
      </c>
    </row>
    <row r="82" spans="1:11" ht="15" customHeight="1" x14ac:dyDescent="0.4">
      <c r="B82" s="73" t="s">
        <v>186</v>
      </c>
      <c r="C82" s="77">
        <f>MAX(Data!C18,0)</f>
        <v>0</v>
      </c>
      <c r="D82" s="164">
        <f>C82/$C$74</f>
        <v>0</v>
      </c>
      <c r="E82" s="186">
        <f>E74*F82</f>
        <v>0</v>
      </c>
      <c r="F82" s="165">
        <f t="shared" si="8"/>
        <v>0</v>
      </c>
      <c r="H82" s="205">
        <v>0</v>
      </c>
      <c r="I82" s="165">
        <f>H82/$H$74</f>
        <v>0</v>
      </c>
      <c r="K82" s="24"/>
    </row>
    <row r="83" spans="1:11" ht="15" customHeight="1" thickBot="1" x14ac:dyDescent="0.45">
      <c r="B83" s="106" t="s">
        <v>134</v>
      </c>
      <c r="C83" s="168">
        <f>C78-C79-C80-C81-C82</f>
        <v>24640</v>
      </c>
      <c r="D83" s="169">
        <f>C83/$C$74</f>
        <v>0.35546835552606143</v>
      </c>
      <c r="E83" s="170">
        <f>E74*F83</f>
        <v>24640</v>
      </c>
      <c r="F83" s="171">
        <f t="shared" si="8"/>
        <v>0.35546835552606143</v>
      </c>
      <c r="H83" s="170">
        <f>H78-H79-H80-H81-H82</f>
        <v>24640</v>
      </c>
      <c r="I83" s="171">
        <f>H83/$H$74</f>
        <v>0.35546835552606143</v>
      </c>
      <c r="K83" s="24"/>
    </row>
    <row r="84" spans="1:11" ht="15" customHeight="1" thickTop="1" x14ac:dyDescent="0.4">
      <c r="B84" s="28" t="s">
        <v>98</v>
      </c>
      <c r="C84" s="220"/>
      <c r="D84" s="164">
        <f>I84</f>
        <v>0.23499999999999999</v>
      </c>
      <c r="E84" s="221"/>
      <c r="F84" s="185">
        <f t="shared" si="8"/>
        <v>0.23499999999999999</v>
      </c>
      <c r="H84" s="221"/>
      <c r="I84" s="211">
        <f>Inputs!C16</f>
        <v>0.23499999999999999</v>
      </c>
      <c r="K84" s="24"/>
    </row>
    <row r="85" spans="1:11" ht="15" customHeight="1" x14ac:dyDescent="0.4">
      <c r="B85" s="86" t="s">
        <v>176</v>
      </c>
      <c r="C85" s="166">
        <f>C83*(1-I84)</f>
        <v>18849.599999999999</v>
      </c>
      <c r="D85" s="171">
        <f>C85/$C$74</f>
        <v>0.27193329197743699</v>
      </c>
      <c r="E85" s="172">
        <f>E83*(1-F84)</f>
        <v>18849.599999999999</v>
      </c>
      <c r="F85" s="171">
        <f>E85/$H$74</f>
        <v>0.27193329197743699</v>
      </c>
      <c r="H85" s="172">
        <f>H83*(1-I84)</f>
        <v>18849.599999999999</v>
      </c>
      <c r="I85" s="171">
        <f>H85/$H$74</f>
        <v>0.27193329197743699</v>
      </c>
      <c r="K85" s="24"/>
    </row>
    <row r="86" spans="1:11" ht="15" customHeight="1" x14ac:dyDescent="0.4">
      <c r="B86" s="87" t="s">
        <v>172</v>
      </c>
      <c r="C86" s="173">
        <f>C85*Data!C4/Common_Shares</f>
        <v>10.014304364010451</v>
      </c>
      <c r="D86" s="218"/>
      <c r="E86" s="174">
        <f>E85*Data!C4/Common_Shares</f>
        <v>10.014304364010451</v>
      </c>
      <c r="F86" s="218"/>
      <c r="H86" s="174">
        <f>H85*Data!C4/Common_Shares</f>
        <v>10.014304364010451</v>
      </c>
      <c r="I86" s="218"/>
      <c r="K86" s="24"/>
    </row>
    <row r="87" spans="1:11" ht="15" customHeight="1" x14ac:dyDescent="0.4">
      <c r="B87" s="87" t="s">
        <v>228</v>
      </c>
      <c r="C87" s="165">
        <f>C86/Dashboard!G3</f>
        <v>0.10739200390359734</v>
      </c>
      <c r="D87" s="218"/>
      <c r="E87" s="165">
        <f>E86/Dashboard!G3</f>
        <v>0.10739200390359734</v>
      </c>
      <c r="F87" s="218"/>
      <c r="H87" s="165">
        <f>H86/Dashboard!G3</f>
        <v>0.10739200390359734</v>
      </c>
      <c r="I87" s="218"/>
      <c r="K87" s="24"/>
    </row>
    <row r="88" spans="1:11" ht="15" customHeight="1" x14ac:dyDescent="0.4">
      <c r="B88" s="86" t="s">
        <v>227</v>
      </c>
      <c r="C88" s="175">
        <f>Inputs!F5</f>
        <v>6.8</v>
      </c>
      <c r="D88" s="171">
        <f>C88/C86</f>
        <v>0.67902869264069265</v>
      </c>
      <c r="E88" s="204">
        <f>H88</f>
        <v>6.8</v>
      </c>
      <c r="F88" s="171">
        <f>E88/E86</f>
        <v>0.67902869264069265</v>
      </c>
      <c r="H88" s="176">
        <f>Inputs!F6</f>
        <v>6.8</v>
      </c>
      <c r="I88" s="171">
        <f>H88/H86</f>
        <v>0.67902869264069265</v>
      </c>
      <c r="K88" s="24"/>
    </row>
    <row r="89" spans="1:11" ht="15" customHeight="1" x14ac:dyDescent="0.4">
      <c r="B89" s="87" t="s">
        <v>229</v>
      </c>
      <c r="C89" s="165">
        <f>C88/Dashboard!G3</f>
        <v>7.2922252010723859E-2</v>
      </c>
      <c r="D89" s="218"/>
      <c r="E89" s="165">
        <f>E88/Dashboard!G3</f>
        <v>7.2922252010723859E-2</v>
      </c>
      <c r="F89" s="218"/>
      <c r="H89" s="165">
        <f>H88/Dashboard!G3</f>
        <v>7.2922252010723859E-2</v>
      </c>
      <c r="I89" s="218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7" t="s">
        <v>166</v>
      </c>
      <c r="C91" s="21"/>
      <c r="K91" s="50" t="s">
        <v>143</v>
      </c>
    </row>
    <row r="92" spans="1:11" ht="15" customHeight="1" x14ac:dyDescent="0.4">
      <c r="B92" s="10" t="s">
        <v>167</v>
      </c>
      <c r="C92" s="207" t="str">
        <f>Inputs!C15</f>
        <v>HK</v>
      </c>
      <c r="D92" s="10" t="s">
        <v>168</v>
      </c>
      <c r="E92" s="249" t="s">
        <v>226</v>
      </c>
      <c r="F92" s="249"/>
      <c r="G92" s="87"/>
      <c r="H92" s="249" t="s">
        <v>225</v>
      </c>
      <c r="I92" s="249"/>
      <c r="K92" s="24"/>
    </row>
    <row r="93" spans="1:11" ht="15" customHeight="1" x14ac:dyDescent="0.4">
      <c r="B93" s="1" t="str">
        <f>C92&amp;" Required Return"</f>
        <v>HK Required Return</v>
      </c>
      <c r="C93" s="137">
        <f>IF(C92="CN",Dashboard!C17,IF(C92="US",Dashboard!C12,IF(C92="HK",Dashboard!D12,Dashboard!D17)))</f>
        <v>7.0000000000000007E-2</v>
      </c>
      <c r="D93" s="206">
        <v>5</v>
      </c>
      <c r="E93" s="87" t="s">
        <v>230</v>
      </c>
      <c r="F93" s="146">
        <f>FV(E87,D93,0,-(E86/C93))</f>
        <v>238.24821922594845</v>
      </c>
      <c r="H93" s="87" t="s">
        <v>230</v>
      </c>
      <c r="I93" s="146">
        <f>FV(H87,D93,0,-(H86/C93))</f>
        <v>238.24821922594845</v>
      </c>
      <c r="K93" s="24"/>
    </row>
    <row r="94" spans="1:11" ht="15" customHeight="1" x14ac:dyDescent="0.4">
      <c r="B94" s="1" t="s">
        <v>232</v>
      </c>
      <c r="C94" s="188">
        <f>Dashboard!G20</f>
        <v>0.15</v>
      </c>
      <c r="D94" s="147"/>
      <c r="E94" s="87" t="s">
        <v>231</v>
      </c>
      <c r="F94" s="146">
        <f>FV(E89,D93,0,-(E88/C93))</f>
        <v>138.11858968074955</v>
      </c>
      <c r="H94" s="87" t="s">
        <v>231</v>
      </c>
      <c r="I94" s="146">
        <f>FV(H89,D93,0,-(H88/C93))</f>
        <v>138.11858968074955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7" t="str">
        <f xml:space="preserve"> "Valuation in "&amp;Dashboard!H3</f>
        <v>Valuation in HKD</v>
      </c>
      <c r="C96" s="128" t="str">
        <f>Dashboard!H3</f>
        <v>HKD</v>
      </c>
      <c r="E96" s="125" t="s">
        <v>235</v>
      </c>
      <c r="F96" s="189" t="str">
        <f>E72</f>
        <v>Pessimistic Case</v>
      </c>
      <c r="H96" s="189" t="str">
        <f>H72</f>
        <v>Base Case</v>
      </c>
      <c r="I96" s="125" t="s">
        <v>234</v>
      </c>
      <c r="K96" s="24"/>
    </row>
    <row r="97" spans="2:11" ht="15" customHeight="1" x14ac:dyDescent="0.4">
      <c r="B97" s="1" t="s">
        <v>140</v>
      </c>
      <c r="C97" s="91">
        <f>H97*Common_Shares/Data!C4</f>
        <v>319736.433774887</v>
      </c>
      <c r="E97" s="124">
        <f>PV(C94,D93,0,-F93)*Exchange_Rate</f>
        <v>118.45147182538831</v>
      </c>
      <c r="F97" s="124">
        <f>PV(C93,D93,0,-F93)*Exchange_Rate</f>
        <v>169.86768759469643</v>
      </c>
      <c r="H97" s="124">
        <f>PV(C93,D93,0,-I93)*Exchange_Rate</f>
        <v>169.86768759469643</v>
      </c>
      <c r="I97" s="224"/>
      <c r="K97" s="24"/>
    </row>
    <row r="98" spans="2:11" ht="15" customHeight="1" x14ac:dyDescent="0.4">
      <c r="B98" s="28" t="s">
        <v>155</v>
      </c>
      <c r="C98" s="91">
        <f>E53*Exchange_Rate</f>
        <v>0</v>
      </c>
      <c r="E98" s="222"/>
      <c r="F98" s="222"/>
      <c r="H98" s="124">
        <f>C98*Data!$C$4/Common_Shares</f>
        <v>0</v>
      </c>
      <c r="I98" s="224"/>
      <c r="K98" s="24"/>
    </row>
    <row r="99" spans="2:11" ht="15" customHeight="1" thickBot="1" x14ac:dyDescent="0.45">
      <c r="B99" s="106" t="s">
        <v>156</v>
      </c>
      <c r="C99" s="109">
        <f>(E65+MIN(0,E70))*Exchange_Rate</f>
        <v>0</v>
      </c>
      <c r="E99" s="223"/>
      <c r="F99" s="223"/>
      <c r="H99" s="148">
        <f>C99*Data!$C$4/Common_Shares</f>
        <v>0</v>
      </c>
      <c r="I99" s="225"/>
      <c r="K99" s="24"/>
    </row>
    <row r="100" spans="2:11" ht="15" customHeight="1" thickTop="1" x14ac:dyDescent="0.4">
      <c r="B100" s="1" t="s">
        <v>119</v>
      </c>
      <c r="C100" s="91">
        <f>C97-C98+$C$99</f>
        <v>319736.433774887</v>
      </c>
      <c r="E100" s="110">
        <f>MAX(E97-F98+F99,0)</f>
        <v>118.45147182538831</v>
      </c>
      <c r="F100" s="110">
        <f>MAX(F97-H98+H99,0)</f>
        <v>169.86768759469643</v>
      </c>
      <c r="H100" s="110">
        <f>MAX(C100*Data!$C$4/Common_Shares,0)</f>
        <v>169.86768759469643</v>
      </c>
      <c r="I100" s="110">
        <f>H100*1.25</f>
        <v>212.33460949337055</v>
      </c>
      <c r="K100" s="24"/>
    </row>
    <row r="101" spans="2:11" ht="15" customHeight="1" x14ac:dyDescent="0.4">
      <c r="F101" s="24"/>
      <c r="K101" s="24"/>
    </row>
    <row r="102" spans="2:11" ht="15" customHeight="1" x14ac:dyDescent="0.4">
      <c r="B102" s="10" t="s">
        <v>174</v>
      </c>
      <c r="C102" s="128" t="str">
        <f>C96</f>
        <v>HKD</v>
      </c>
      <c r="E102" s="125" t="s">
        <v>235</v>
      </c>
      <c r="F102" s="189" t="str">
        <f>F96</f>
        <v>Pessimistic Case</v>
      </c>
      <c r="H102" s="189" t="str">
        <f>H96</f>
        <v>Base Case</v>
      </c>
      <c r="I102" s="125" t="s">
        <v>234</v>
      </c>
      <c r="K102" s="24"/>
    </row>
    <row r="103" spans="2:11" ht="15" customHeight="1" x14ac:dyDescent="0.4">
      <c r="B103" s="1" t="s">
        <v>173</v>
      </c>
      <c r="C103" s="91">
        <f>H103*Common_Shares/Data!C4</f>
        <v>185359.39301463618</v>
      </c>
      <c r="E103" s="110">
        <f>PV(C94,D93,0,-F94)*Exchange_Rate</f>
        <v>68.669349501479132</v>
      </c>
      <c r="F103" s="124">
        <f>PV(C93,D93,0,-F94)*Exchange_Rate</f>
        <v>98.476645572150048</v>
      </c>
      <c r="H103" s="124">
        <f>PV(C93,D93,0,-I94)*Exchange_Rate</f>
        <v>98.476645572150048</v>
      </c>
      <c r="I103" s="110">
        <f>H103*1.25</f>
        <v>123.09580696518756</v>
      </c>
      <c r="K103" s="24"/>
    </row>
    <row r="104" spans="2:11" ht="15" customHeight="1" x14ac:dyDescent="0.4">
      <c r="F104" s="24"/>
      <c r="K104" s="24"/>
    </row>
    <row r="105" spans="2:11" ht="15" customHeight="1" x14ac:dyDescent="0.4">
      <c r="B105" s="10" t="s">
        <v>214</v>
      </c>
      <c r="C105" s="128" t="str">
        <f>C102</f>
        <v>HKD</v>
      </c>
      <c r="E105" s="125" t="s">
        <v>235</v>
      </c>
      <c r="F105" s="190" t="s">
        <v>224</v>
      </c>
      <c r="H105" s="190" t="s">
        <v>224</v>
      </c>
      <c r="I105" s="125" t="s">
        <v>234</v>
      </c>
      <c r="K105" s="24"/>
    </row>
    <row r="106" spans="2:11" ht="15" customHeight="1" x14ac:dyDescent="0.4">
      <c r="B106" s="1" t="s">
        <v>215</v>
      </c>
      <c r="C106" s="91">
        <f>F106*Common_Shares/Data!C4</f>
        <v>252547.91339476159</v>
      </c>
      <c r="E106" s="110">
        <f>(E100+E103)/2</f>
        <v>93.560410663433714</v>
      </c>
      <c r="F106" s="124">
        <f>(F100+F103)/2</f>
        <v>134.17216658342323</v>
      </c>
      <c r="H106" s="124">
        <f>(H100+H103)/2</f>
        <v>134.17216658342323</v>
      </c>
      <c r="I106" s="110">
        <f>H106*1.25</f>
        <v>167.71520822927903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177</v>
      </c>
      <c r="C108" s="191" t="s">
        <v>245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86 C88">
    <cfRule type="containsBlanks" dxfId="5" priority="7">
      <formula>LEN(TRIM(C86))=0</formula>
    </cfRule>
  </conditionalFormatting>
  <conditionalFormatting sqref="C108">
    <cfRule type="containsBlanks" dxfId="4" priority="4">
      <formula>LEN(TRIM(C108))=0</formula>
    </cfRule>
  </conditionalFormatting>
  <conditionalFormatting sqref="E74:E82 F84">
    <cfRule type="containsBlanks" dxfId="3" priority="2">
      <formula>LEN(TRIM(E74))=0</formula>
    </cfRule>
  </conditionalFormatting>
  <conditionalFormatting sqref="E88">
    <cfRule type="containsBlanks" dxfId="2" priority="1">
      <formula>LEN(TRIM(E88))=0</formula>
    </cfRule>
  </conditionalFormatting>
  <conditionalFormatting sqref="H74:H82 I84">
    <cfRule type="containsBlanks" dxfId="1" priority="11">
      <formula>LEN(TRIM(H74))=0</formula>
    </cfRule>
  </conditionalFormatting>
  <conditionalFormatting sqref="H88">
    <cfRule type="containsBlanks" dxfId="0" priority="6">
      <formula>LEN(TRIM(H88))=0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35:F37 F19:F20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1" r:id="rId1" xr:uid="{B6C51259-995A-4E8A-8C0F-B82AE723DC52}"/>
  </hyperlinks>
  <pageMargins left="0.25" right="0.25" top="0.75" bottom="0.75" header="0.3" footer="0.3"/>
  <pageSetup scale="71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Dashboard</vt:lpstr>
      <vt:lpstr>Inputs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2024-11-13T06:05:55Z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