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578D3EE-A524-4289-8FC4-C529431866D9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55" i="2" l="1"/>
  <c r="I55" i="2"/>
  <c r="J55" i="2"/>
  <c r="K55" i="2"/>
  <c r="L55" i="2"/>
  <c r="M55" i="2"/>
  <c r="C55" i="2"/>
  <c r="D55" i="2"/>
  <c r="E55" i="2"/>
  <c r="F55" i="2"/>
  <c r="G55" i="2"/>
  <c r="D46" i="2"/>
  <c r="E46" i="2"/>
  <c r="F46" i="2"/>
  <c r="G46" i="2"/>
  <c r="H46" i="2"/>
  <c r="I46" i="2"/>
  <c r="J46" i="2"/>
  <c r="K46" i="2"/>
  <c r="L46" i="2"/>
  <c r="M46" i="2"/>
  <c r="C46" i="2"/>
  <c r="D21" i="2"/>
  <c r="E21" i="2"/>
  <c r="F21" i="2"/>
  <c r="G21" i="2"/>
  <c r="H21" i="2"/>
  <c r="I21" i="2"/>
  <c r="J21" i="2"/>
  <c r="K21" i="2"/>
  <c r="L21" i="2"/>
  <c r="M21" i="2"/>
  <c r="C21" i="2"/>
  <c r="D19" i="2"/>
  <c r="E19" i="2"/>
  <c r="F19" i="2"/>
  <c r="G19" i="2"/>
  <c r="H19" i="2"/>
  <c r="I19" i="2"/>
  <c r="J19" i="2"/>
  <c r="K19" i="2"/>
  <c r="L19" i="2"/>
  <c r="M19" i="2"/>
  <c r="C19" i="2"/>
  <c r="C16" i="4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F83" i="3"/>
  <c r="E81" i="3"/>
  <c r="E83" i="3" s="1"/>
  <c r="D45" i="4" l="1"/>
  <c r="H82" i="3" l="1"/>
  <c r="E74" i="3"/>
  <c r="F6" i="4"/>
  <c r="F5" i="4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C77" i="3" l="1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M9" i="2"/>
  <c r="L9" i="2"/>
  <c r="I9" i="2"/>
  <c r="D7" i="2"/>
  <c r="K9" i="2"/>
  <c r="J9" i="2"/>
  <c r="F102" i="3"/>
  <c r="H102" i="3"/>
  <c r="C93" i="3"/>
  <c r="M20" i="2"/>
  <c r="G54" i="2" l="1"/>
  <c r="E54" i="2"/>
  <c r="F54" i="2"/>
  <c r="I54" i="2"/>
  <c r="H54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E100" i="3" l="1"/>
  <c r="F100" i="3"/>
  <c r="G23" i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l="1"/>
  <c r="E87" i="3" s="1"/>
  <c r="F93" i="3" s="1"/>
  <c r="F85" i="3"/>
  <c r="F88" i="3"/>
  <c r="E78" i="3"/>
  <c r="E97" i="3" l="1"/>
  <c r="F97" i="3"/>
  <c r="F106" i="3" l="1"/>
  <c r="E106" i="3"/>
  <c r="C29" i="1"/>
  <c r="D29" i="1"/>
  <c r="F29" i="1" l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<sst xmlns="http://schemas.openxmlformats.org/spreadsheetml/2006/main" count="349" uniqueCount="248">
  <si>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</si>
  <si>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</si>
  <si>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</si>
  <si>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</si>
  <si>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</si>
  <si>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</si>
  <si>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</si>
  <si>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</si>
  <si>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</si>
  <si>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</si>
  <si>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</si>
  <si>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</si>
  <si>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</si>
  <si>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</si>
  <si>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</si>
  <si>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</si>
  <si>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</si>
  <si>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</si>
  <si>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</si>
  <si>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</si>
  <si>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</si>
  <si>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</si>
  <si>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</si>
  <si>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</si>
  <si>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</si>
  <si>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</si>
  <si>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</si>
  <si>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</si>
  <si>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</si>
  <si>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</si>
  <si>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</si>
  <si>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</si>
  <si>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</si>
  <si>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</si>
  <si>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</si>
  <si>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</si>
  <si>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</si>
  <si>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</si>
  <si>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</si>
  <si>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</si>
  <si>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</si>
  <si>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</si>
  <si>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</si>
  <si>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</si>
  <si>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</si>
  <si>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</si>
  <si>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</si>
  <si>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</si>
  <si>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</si>
  <si>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</si>
  <si>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</si>
  <si>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</si>
  <si>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</si>
  <si>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</si>
  <si>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</si>
  <si>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</si>
  <si>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</si>
  <si>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</si>
  <si>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</si>
  <si>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</si>
  <si>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</si>
  <si>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</si>
  <si>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</si>
  <si>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</si>
  <si>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</si>
  <si>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</si>
  <si>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</si>
  <si>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</si>
  <si>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</si>
  <si>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</si>
  <si>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</si>
  <si>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</si>
  <si>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</si>
  <si>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</si>
  <si>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</si>
  <si>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</si>
  <si>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</si>
  <si>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</si>
  <si>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</si>
  <si>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</si>
  <si>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</si>
  <si>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</si>
  <si>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</si>
  <si>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</si>
  <si>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</si>
  <si>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</si>
  <si>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</si>
  <si>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</si>
  <si>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</si>
  <si>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</si>
  <si>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</si>
  <si>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</si>
  <si>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</si>
  <si>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</si>
  <si>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</si>
  <si>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</si>
  <si>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</si>
  <si>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</si>
  <si>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</si>
  <si>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</si>
  <si>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</si>
  <si>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</si>
  <si>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</si>
  <si>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</si>
  <si>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</si>
  <si>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</si>
  <si>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</si>
  <si>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</si>
  <si>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</si>
  <si>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</si>
  <si>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</si>
  <si>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</si>
  <si>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</si>
  <si>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</si>
  <si>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</si>
  <si>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</si>
  <si>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</si>
  <si>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</si>
  <si>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</si>
  <si>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</si>
  <si>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</si>
  <si>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</si>
  <si>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</si>
  <si>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</si>
  <si>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</si>
  <si>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</si>
  <si>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</si>
  <si>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</si>
  <si>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</si>
  <si>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</si>
  <si>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</si>
  <si>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</si>
  <si>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</si>
  <si>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</si>
  <si>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</si>
  <si>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</si>
  <si>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</si>
  <si>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</si>
  <si>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</si>
  <si>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</si>
  <si>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</si>
  <si>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</si>
  <si>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</si>
  <si>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</si>
  <si>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</si>
  <si>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</si>
  <si>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</si>
  <si>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</si>
  <si>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</si>
  <si>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</si>
  <si>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</si>
  <si>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</si>
  <si>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</si>
  <si>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</si>
  <si>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</si>
  <si>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</si>
  <si>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</si>
  <si>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</si>
  <si>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</si>
  <si>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</si>
  <si>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</si>
  <si>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</si>
  <si>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</si>
  <si>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</si>
  <si>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</si>
  <si>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</si>
  <si>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</si>
  <si>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</si>
  <si>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</si>
  <si>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</si>
  <si>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</si>
  <si>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</si>
  <si>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</si>
  <si>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</si>
  <si>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</si>
  <si>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</si>
  <si>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</si>
  <si>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</si>
  <si>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</si>
  <si>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</si>
  <si>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</si>
  <si>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</si>
  <si>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</si>
  <si>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</si>
  <si>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</si>
  <si>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</si>
  <si>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</si>
  <si>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</si>
  <si>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</si>
  <si>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</si>
  <si>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</si>
  <si>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</si>
  <si>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</si>
  <si>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</si>
  <si>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</si>
  <si>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</si>
  <si>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</si>
  <si>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</si>
  <si>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</si>
  <si>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</si>
  <si>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</si>
  <si>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</si>
  <si>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</si>
  <si>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</si>
  <si>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</si>
  <si>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</si>
  <si>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</si>
  <si>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</si>
  <si>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</si>
  <si>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</si>
  <si>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</si>
  <si>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</si>
  <si>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</si>
  <si>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</si>
  <si>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</si>
  <si>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</si>
  <si>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</si>
  <si>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</si>
  <si>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</si>
  <si>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</si>
  <si>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</si>
  <si>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</si>
  <si>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</si>
  <si>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</si>
  <si>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</si>
  <si>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</si>
  <si>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</si>
  <si>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</si>
  <si>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</si>
  <si>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</si>
  <si>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</si>
  <si>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</si>
  <si>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</si>
  <si>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</si>
  <si>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</si>
  <si>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</si>
  <si>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</si>
  <si>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</si>
  <si>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</si>
  <si>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</si>
  <si>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</si>
  <si>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</si>
  <si>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</si>
  <si>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</si>
  <si>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0083.HK</t>
    <phoneticPr fontId="20" type="noConversion"/>
  </si>
  <si>
    <t>SINO LAND</t>
    <phoneticPr fontId="20" type="noConversion"/>
  </si>
  <si>
    <t>C0005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</si>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</sst>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8" sqref="D2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4" t="str">
        <f>Inputs!C4</f>
        <v>0083.HK</v>
      </c>
      <c r="D3" s="245"/>
      <c r="E3" s="87"/>
      <c r="F3" s="3" t="s">
        <v>1</v>
      </c>
      <c r="G3" s="133">
        <v>7.9299998283386204</v>
      </c>
      <c r="H3" s="135" t="s">
        <v>2</v>
      </c>
    </row>
    <row r="4" spans="1:10" ht="15.75" customHeight="1" x14ac:dyDescent="0.4">
      <c r="B4" s="35" t="s">
        <v>212</v>
      </c>
      <c r="C4" s="246" t="str">
        <f>Inputs!C5</f>
        <v>SINO LAND</v>
      </c>
      <c r="D4" s="247"/>
      <c r="E4" s="87"/>
      <c r="F4" s="3" t="s">
        <v>3</v>
      </c>
      <c r="G4" s="250">
        <f>Inputs!C10</f>
        <v>8171879936</v>
      </c>
      <c r="H4" s="250"/>
      <c r="I4" s="39"/>
    </row>
    <row r="5" spans="1:10" ht="15.75" customHeight="1" x14ac:dyDescent="0.4">
      <c r="B5" s="3" t="s">
        <v>175</v>
      </c>
      <c r="C5" s="248">
        <f>Inputs!C6</f>
        <v>45593</v>
      </c>
      <c r="D5" s="249"/>
      <c r="E5" s="34"/>
      <c r="F5" s="35" t="s">
        <v>102</v>
      </c>
      <c r="G5" s="242">
        <f>G3*G4/1000000</f>
        <v>64803.006489683816</v>
      </c>
      <c r="H5" s="242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43" t="str">
        <f>Inputs!C11</f>
        <v>HKD</v>
      </c>
      <c r="H6" s="243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C0005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0.60969766115231028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0.10541928123217342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7.8722190530519116E-3</v>
      </c>
      <c r="F23" s="141" t="s">
        <v>204</v>
      </c>
      <c r="G23" s="183">
        <f>G3/(Data!C36*Data!C4/Common_Shares*Exchange_Rate)</f>
        <v>0.38963783694703946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2.7934120622754955E-2</v>
      </c>
    </row>
    <row r="25" spans="1:8" ht="15.75" customHeight="1" x14ac:dyDescent="0.4">
      <c r="B25" s="138" t="s">
        <v>208</v>
      </c>
      <c r="C25" s="177">
        <f>Fin_Analysis!I82</f>
        <v>1.7227609811751282E-2</v>
      </c>
      <c r="F25" s="141" t="s">
        <v>188</v>
      </c>
      <c r="G25" s="177">
        <f>Fin_Analysis!I88</f>
        <v>2.6183024463281988</v>
      </c>
    </row>
    <row r="26" spans="1:8" ht="15.75" customHeight="1" x14ac:dyDescent="0.4">
      <c r="B26" s="139" t="s">
        <v>187</v>
      </c>
      <c r="C26" s="177">
        <f>Fin_Analysis!I83</f>
        <v>0.25978322875071308</v>
      </c>
      <c r="F26" s="142" t="s">
        <v>210</v>
      </c>
      <c r="G26" s="184">
        <f>Fin_Analysis!H88*Exchange_Rate/G3</f>
        <v>7.3139976362586276E-2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0" t="str">
        <f>Fin_Analysis!H96</f>
        <v>Base Case</v>
      </c>
      <c r="H28" s="240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7.6547238349719606</v>
      </c>
      <c r="D29" s="130">
        <f>IF(Fin_Analysis!C108="Profit",Fin_Analysis!I100,IF(Fin_Analysis!C108="Dividend",Fin_Analysis!I103,Fin_Analysis!I106))</f>
        <v>12.792808413186361</v>
      </c>
      <c r="E29" s="87"/>
      <c r="F29" s="132">
        <f>IF(Fin_Analysis!C108="Profit",Fin_Analysis!F100,IF(Fin_Analysis!C108="Dividend",Fin_Analysis!F103,Fin_Analysis!F106))</f>
        <v>9.2323010835732706</v>
      </c>
      <c r="G29" s="241">
        <f>IF(Fin_Analysis!C108="Profit",Fin_Analysis!H100,IF(Fin_Analysis!C108="Dividend",Fin_Analysis!H103,Fin_Analysis!H106))</f>
        <v>10.234246730549089</v>
      </c>
      <c r="H29" s="241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23" sqref="E2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244</v>
      </c>
      <c r="F4" s="201" t="s">
        <v>227</v>
      </c>
    </row>
    <row r="5" spans="1:6" ht="13.9" x14ac:dyDescent="0.4">
      <c r="B5" s="142" t="s">
        <v>212</v>
      </c>
      <c r="C5" s="198" t="s">
        <v>245</v>
      </c>
      <c r="E5" s="231">
        <f>C18</f>
        <v>45473</v>
      </c>
      <c r="F5" s="232">
        <f>0.15+0.43</f>
        <v>0.57999999999999996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0.57999999999999996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246</v>
      </c>
    </row>
    <row r="10" spans="1:6" ht="13.9" x14ac:dyDescent="0.4">
      <c r="B10" s="141" t="s">
        <v>239</v>
      </c>
      <c r="C10" s="200">
        <v>8171879936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45473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f>(16%+25%)/2</f>
        <v>0.20500000000000002</v>
      </c>
    </row>
    <row r="18" spans="2:13" ht="13.9" x14ac:dyDescent="0.4">
      <c r="B18" s="116" t="s">
        <v>144</v>
      </c>
      <c r="C18" s="48">
        <f>C12</f>
        <v>45473</v>
      </c>
      <c r="D18" s="49">
        <f>EOMONTH(EDATE(C18,-12),0)</f>
        <v>45107</v>
      </c>
      <c r="E18" s="49">
        <f t="shared" ref="E18:M18" si="0">EOMONTH(EDATE(D18,-12),0)</f>
        <v>44742</v>
      </c>
      <c r="F18" s="49">
        <f t="shared" si="0"/>
        <v>44377</v>
      </c>
      <c r="G18" s="49">
        <f t="shared" si="0"/>
        <v>44012</v>
      </c>
      <c r="H18" s="49">
        <f t="shared" si="0"/>
        <v>43646</v>
      </c>
      <c r="I18" s="49">
        <f t="shared" si="0"/>
        <v>43281</v>
      </c>
      <c r="J18" s="49">
        <f t="shared" si="0"/>
        <v>42916</v>
      </c>
      <c r="K18" s="49">
        <f t="shared" si="0"/>
        <v>42551</v>
      </c>
      <c r="L18" s="49">
        <f t="shared" si="0"/>
        <v>42185</v>
      </c>
      <c r="M18" s="49">
        <f t="shared" si="0"/>
        <v>41820</v>
      </c>
    </row>
    <row r="19" spans="2:13" ht="13.9" x14ac:dyDescent="0.4">
      <c r="B19" s="94" t="s">
        <v>12</v>
      </c>
      <c r="C19" s="152">
        <v>8765000</v>
      </c>
      <c r="D19" s="152">
        <v>11881285.263</v>
      </c>
      <c r="E19" s="152">
        <v>15554174</v>
      </c>
      <c r="F19" s="152">
        <v>24545345</v>
      </c>
      <c r="G19" s="152">
        <v>5886888</v>
      </c>
      <c r="H19" s="152">
        <v>8009912.5779999997</v>
      </c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5344000</v>
      </c>
      <c r="D20" s="153">
        <v>6492528.8569999998</v>
      </c>
      <c r="E20" s="153">
        <v>7301864</v>
      </c>
      <c r="F20" s="153">
        <v>11010749</v>
      </c>
      <c r="G20" s="153">
        <v>2437232</v>
      </c>
      <c r="H20" s="153">
        <v>3519324.7429999998</v>
      </c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1084000</v>
      </c>
      <c r="D21" s="153">
        <v>1127944.4380000001</v>
      </c>
      <c r="E21" s="153">
        <v>1041422.6849999999</v>
      </c>
      <c r="F21" s="153">
        <v>1037106.517</v>
      </c>
      <c r="G21" s="153">
        <v>1042405.909</v>
      </c>
      <c r="H21" s="153">
        <v>1137125.2150000001</v>
      </c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160000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69000</v>
      </c>
      <c r="D24" s="153">
        <v>108000</v>
      </c>
      <c r="E24" s="153">
        <v>1176000</v>
      </c>
      <c r="F24" s="153">
        <v>247000</v>
      </c>
      <c r="G24" s="153">
        <v>56000</v>
      </c>
      <c r="H24" s="153">
        <v>122438.804</v>
      </c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1160000</v>
      </c>
      <c r="D25" s="153">
        <v>2541000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151000</v>
      </c>
      <c r="D27" s="153">
        <v>-31000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67642638.682000011</v>
      </c>
      <c r="E28" s="153">
        <v>71424985</v>
      </c>
      <c r="F28" s="153">
        <v>74808371</v>
      </c>
      <c r="G28" s="153">
        <v>80391448</v>
      </c>
      <c r="H28" s="153">
        <v>74544144.430999994</v>
      </c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10902268.852</v>
      </c>
      <c r="E31" s="153">
        <v>15104618</v>
      </c>
      <c r="F31" s="153">
        <v>17965728</v>
      </c>
      <c r="G31" s="153">
        <v>32319376</v>
      </c>
      <c r="H31" s="153">
        <v>25385564.491</v>
      </c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5264160.8319999855</v>
      </c>
      <c r="E32" s="153">
        <v>5650742</v>
      </c>
      <c r="F32" s="153">
        <v>6940870</v>
      </c>
      <c r="G32" s="153">
        <v>8645236</v>
      </c>
      <c r="H32" s="153">
        <v>9200711.5279999934</v>
      </c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3672538.0279999999</v>
      </c>
      <c r="E33" s="153">
        <v>2284708</v>
      </c>
      <c r="F33" s="153">
        <v>2894189</v>
      </c>
      <c r="G33" s="153">
        <v>864027</v>
      </c>
      <c r="H33" s="153">
        <v>0</v>
      </c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2447343.9303310001</v>
      </c>
      <c r="E34" s="153">
        <v>2814396</v>
      </c>
      <c r="F34" s="153">
        <v>4131550</v>
      </c>
      <c r="G34" s="153">
        <v>6139127</v>
      </c>
      <c r="H34" s="153">
        <v>6755357.8790000007</v>
      </c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163104843.49900001</v>
      </c>
      <c r="E35" s="153">
        <v>158228515</v>
      </c>
      <c r="F35" s="153">
        <v>156808599</v>
      </c>
      <c r="G35" s="153">
        <v>145759189</v>
      </c>
      <c r="H35" s="153">
        <v>146162104.36500001</v>
      </c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>
        <v>1498</v>
      </c>
      <c r="F36" s="153">
        <v>2853</v>
      </c>
      <c r="G36" s="153">
        <v>696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45574000</v>
      </c>
      <c r="D40" s="60">
        <v>0.9</v>
      </c>
    </row>
    <row r="41" spans="2:13" ht="13.9" x14ac:dyDescent="0.4">
      <c r="B41" s="1" t="s">
        <v>146</v>
      </c>
      <c r="C41" s="59">
        <v>843000</v>
      </c>
      <c r="D41" s="60">
        <v>0.8</v>
      </c>
    </row>
    <row r="42" spans="2:13" ht="13.9" x14ac:dyDescent="0.4">
      <c r="B42" s="3" t="s">
        <v>121</v>
      </c>
      <c r="C42" s="59">
        <v>8192000</v>
      </c>
      <c r="D42" s="60">
        <f>D43</f>
        <v>0.6</v>
      </c>
    </row>
    <row r="43" spans="2:13" ht="13.9" x14ac:dyDescent="0.4">
      <c r="B43" s="3" t="s">
        <v>42</v>
      </c>
      <c r="C43" s="59">
        <v>13000</v>
      </c>
      <c r="D43" s="60">
        <v>0.6</v>
      </c>
    </row>
    <row r="44" spans="2:13" ht="13.9" x14ac:dyDescent="0.4">
      <c r="B44" s="3" t="s">
        <v>44</v>
      </c>
      <c r="C44" s="59">
        <v>6000</v>
      </c>
      <c r="D44" s="60">
        <v>0.5</v>
      </c>
    </row>
    <row r="45" spans="2:13" ht="13.9" x14ac:dyDescent="0.4">
      <c r="B45" s="1" t="s">
        <v>170</v>
      </c>
      <c r="C45" s="59">
        <v>0</v>
      </c>
      <c r="D45" s="60">
        <f>D42</f>
        <v>0.6</v>
      </c>
    </row>
    <row r="46" spans="2:13" ht="13.9" x14ac:dyDescent="0.4">
      <c r="B46" s="3" t="s">
        <v>122</v>
      </c>
      <c r="C46" s="59">
        <v>0</v>
      </c>
      <c r="D46" s="60">
        <v>0.1</v>
      </c>
    </row>
    <row r="47" spans="2:13" ht="13.9" x14ac:dyDescent="0.4">
      <c r="B47" s="3" t="s">
        <v>47</v>
      </c>
      <c r="C47" s="59">
        <v>6401000</v>
      </c>
      <c r="D47" s="60">
        <f>D44</f>
        <v>0.5</v>
      </c>
    </row>
    <row r="48" spans="2:13" ht="13.9" x14ac:dyDescent="0.4">
      <c r="B48" s="1" t="s">
        <v>48</v>
      </c>
      <c r="C48" s="59">
        <v>0</v>
      </c>
      <c r="D48" s="60">
        <f>D42</f>
        <v>0.6</v>
      </c>
    </row>
    <row r="49" spans="2:4" ht="13.9" x14ac:dyDescent="0.4">
      <c r="B49" s="3" t="s">
        <v>124</v>
      </c>
      <c r="C49" s="59">
        <v>9403000</v>
      </c>
      <c r="D49" s="60">
        <v>0.6</v>
      </c>
    </row>
    <row r="50" spans="2:4" ht="13.9" x14ac:dyDescent="0.4">
      <c r="B50" s="3" t="s">
        <v>50</v>
      </c>
      <c r="C50" s="59">
        <v>3000</v>
      </c>
      <c r="D50" s="60">
        <f>D40</f>
        <v>0.9</v>
      </c>
    </row>
    <row r="51" spans="2:4" ht="13.9" x14ac:dyDescent="0.4">
      <c r="B51" s="35" t="s">
        <v>51</v>
      </c>
      <c r="C51" s="121">
        <v>0</v>
      </c>
      <c r="D51" s="202">
        <f>D62</f>
        <v>0.05</v>
      </c>
    </row>
    <row r="52" spans="2:4" ht="13.9" x14ac:dyDescent="0.4">
      <c r="B52" s="3" t="s">
        <v>61</v>
      </c>
      <c r="C52" s="59">
        <v>0</v>
      </c>
      <c r="D52" s="60">
        <f>D41</f>
        <v>0.8</v>
      </c>
    </row>
    <row r="53" spans="2:4" ht="13.9" x14ac:dyDescent="0.4">
      <c r="B53" s="3" t="s">
        <v>63</v>
      </c>
      <c r="C53" s="59">
        <v>1241000</v>
      </c>
      <c r="D53" s="60">
        <f>D43</f>
        <v>0.6</v>
      </c>
    </row>
    <row r="54" spans="2:4" ht="13.9" x14ac:dyDescent="0.4">
      <c r="B54" s="3" t="s">
        <v>65</v>
      </c>
      <c r="C54" s="59">
        <v>69365000</v>
      </c>
      <c r="D54" s="60">
        <f>D44</f>
        <v>0.5</v>
      </c>
    </row>
    <row r="55" spans="2:4" ht="13.9" x14ac:dyDescent="0.4">
      <c r="B55" s="1" t="s">
        <v>171</v>
      </c>
      <c r="C55" s="59">
        <v>0</v>
      </c>
      <c r="D55" s="60">
        <f>D54</f>
        <v>0.5</v>
      </c>
    </row>
    <row r="56" spans="2:4" ht="13.9" x14ac:dyDescent="0.4">
      <c r="B56" s="3" t="s">
        <v>68</v>
      </c>
      <c r="C56" s="59">
        <v>13047000</v>
      </c>
      <c r="D56" s="60">
        <v>0.4</v>
      </c>
    </row>
    <row r="57" spans="2:4" ht="13.9" x14ac:dyDescent="0.4">
      <c r="B57" s="3" t="s">
        <v>70</v>
      </c>
      <c r="C57" s="59">
        <v>23342000</v>
      </c>
      <c r="D57" s="60">
        <v>0.1</v>
      </c>
    </row>
    <row r="58" spans="2:4" ht="13.9" x14ac:dyDescent="0.4">
      <c r="B58" s="3" t="s">
        <v>72</v>
      </c>
      <c r="C58" s="59">
        <v>1641000</v>
      </c>
      <c r="D58" s="60">
        <v>0.2</v>
      </c>
    </row>
    <row r="59" spans="2:4" ht="13.9" x14ac:dyDescent="0.4">
      <c r="B59" s="1" t="s">
        <v>49</v>
      </c>
      <c r="C59" s="59">
        <v>0</v>
      </c>
      <c r="D59" s="60">
        <f>D57</f>
        <v>0.1</v>
      </c>
    </row>
    <row r="60" spans="2:4" ht="13.9" x14ac:dyDescent="0.4">
      <c r="B60" s="3" t="s">
        <v>123</v>
      </c>
      <c r="C60" s="59">
        <v>1263000</v>
      </c>
      <c r="D60" s="60">
        <f>D57</f>
        <v>0.1</v>
      </c>
    </row>
    <row r="61" spans="2:4" ht="13.9" x14ac:dyDescent="0.4">
      <c r="B61" s="3" t="s">
        <v>73</v>
      </c>
      <c r="C61" s="59">
        <v>0</v>
      </c>
      <c r="D61" s="60">
        <f>D62</f>
        <v>0.05</v>
      </c>
    </row>
    <row r="62" spans="2:4" ht="13.9" x14ac:dyDescent="0.4">
      <c r="B62" s="3" t="s">
        <v>74</v>
      </c>
      <c r="C62" s="59">
        <v>0</v>
      </c>
      <c r="D62" s="60">
        <v>0.05</v>
      </c>
    </row>
    <row r="63" spans="2:4" ht="13.9" x14ac:dyDescent="0.4">
      <c r="B63" s="3" t="s">
        <v>75</v>
      </c>
      <c r="C63" s="59">
        <v>10000</v>
      </c>
      <c r="D63" s="60">
        <f>D50</f>
        <v>0.9</v>
      </c>
    </row>
    <row r="64" spans="2:4" ht="13.9" x14ac:dyDescent="0.4">
      <c r="B64" s="3" t="s">
        <v>76</v>
      </c>
      <c r="C64" s="59">
        <v>0</v>
      </c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20000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7818000</v>
      </c>
    </row>
    <row r="71" spans="2:3" ht="14.25" thickTop="1" x14ac:dyDescent="0.4">
      <c r="B71" s="3" t="s">
        <v>62</v>
      </c>
      <c r="C71" s="59">
        <v>832000</v>
      </c>
    </row>
    <row r="72" spans="2:3" ht="13.9" x14ac:dyDescent="0.4">
      <c r="B72" s="3" t="s">
        <v>64</v>
      </c>
      <c r="C72" s="59">
        <v>15000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6210000</v>
      </c>
    </row>
    <row r="76" spans="2:3" ht="14.25" thickTop="1" x14ac:dyDescent="0.4">
      <c r="B76" s="73" t="s">
        <v>243</v>
      </c>
      <c r="C76" s="59">
        <v>165790000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6" sqref="D1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45473</v>
      </c>
      <c r="E3" s="149" t="s">
        <v>219</v>
      </c>
      <c r="F3" s="85">
        <f>H19</f>
        <v>3353462.62</v>
      </c>
      <c r="G3" s="85">
        <f>C19</f>
        <v>2147062.893081761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>
        <f>(G3/F3)^(1/H3)-1</f>
        <v>-7.1621196755142336E-2</v>
      </c>
      <c r="J4" s="87"/>
    </row>
    <row r="5" spans="1:14" ht="15.75" customHeight="1" x14ac:dyDescent="0.4">
      <c r="A5" s="16"/>
      <c r="B5" s="116" t="s">
        <v>144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9">
        <f>IF(Inputs!C19=""," ",Inputs!C19)</f>
        <v>8765000</v>
      </c>
      <c r="D6" s="209">
        <f>IF(Inputs!D19="","",Inputs!D19)</f>
        <v>11881285.263</v>
      </c>
      <c r="E6" s="209">
        <f>IF(Inputs!E19="","",Inputs!E19)</f>
        <v>15554174</v>
      </c>
      <c r="F6" s="209">
        <f>IF(Inputs!F19="","",Inputs!F19)</f>
        <v>24545345</v>
      </c>
      <c r="G6" s="209">
        <f>IF(Inputs!G19="","",Inputs!G19)</f>
        <v>5886888</v>
      </c>
      <c r="H6" s="209">
        <f>IF(Inputs!H19="","",Inputs!H19)</f>
        <v>8009912.5779999997</v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-0.26228519844604292</v>
      </c>
      <c r="D7" s="92">
        <f t="shared" si="1"/>
        <v>-0.23613524813339493</v>
      </c>
      <c r="E7" s="92">
        <f t="shared" si="1"/>
        <v>-0.36630860148838817</v>
      </c>
      <c r="F7" s="92">
        <f t="shared" si="1"/>
        <v>3.1694941368002922</v>
      </c>
      <c r="G7" s="92">
        <f t="shared" si="1"/>
        <v>-0.26504965657566504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5344000</v>
      </c>
      <c r="D8" s="208">
        <f>IF(Inputs!D20="","",Inputs!D20)</f>
        <v>6492528.8569999998</v>
      </c>
      <c r="E8" s="208">
        <f>IF(Inputs!E20="","",Inputs!E20)</f>
        <v>7301864</v>
      </c>
      <c r="F8" s="208">
        <f>IF(Inputs!F20="","",Inputs!F20)</f>
        <v>11010749</v>
      </c>
      <c r="G8" s="208">
        <f>IF(Inputs!G20="","",Inputs!G20)</f>
        <v>2437232</v>
      </c>
      <c r="H8" s="208">
        <f>IF(Inputs!H20="","",Inputs!H20)</f>
        <v>3519324.7429999998</v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3421000</v>
      </c>
      <c r="D9" s="154">
        <f t="shared" si="2"/>
        <v>5388756.4060000004</v>
      </c>
      <c r="E9" s="154">
        <f t="shared" si="2"/>
        <v>8252310</v>
      </c>
      <c r="F9" s="154">
        <f t="shared" si="2"/>
        <v>13534596</v>
      </c>
      <c r="G9" s="154">
        <f t="shared" si="2"/>
        <v>3449656</v>
      </c>
      <c r="H9" s="154">
        <f t="shared" si="2"/>
        <v>4490587.835</v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1084000</v>
      </c>
      <c r="D10" s="208">
        <f>IF(Inputs!D21="","",Inputs!D21)</f>
        <v>1127944.4380000001</v>
      </c>
      <c r="E10" s="208">
        <f>IF(Inputs!E21="","",Inputs!E21)</f>
        <v>1041422.6849999999</v>
      </c>
      <c r="F10" s="208">
        <f>IF(Inputs!F21="","",Inputs!F21)</f>
        <v>1037106.517</v>
      </c>
      <c r="G10" s="208">
        <f>IF(Inputs!G21="","",Inputs!G21)</f>
        <v>1042405.909</v>
      </c>
      <c r="H10" s="208">
        <f>IF(Inputs!H21="","",Inputs!H21)</f>
        <v>1137125.2150000001</v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1.825442099258414E-2</v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160000</v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2497000</v>
      </c>
      <c r="D13" s="154">
        <f t="shared" ref="D13:M13" si="4">IF(D6="","",(D9-D10+MAX(D12,0)))</f>
        <v>4260811.9680000003</v>
      </c>
      <c r="E13" s="154">
        <f t="shared" si="4"/>
        <v>7210887.3150000004</v>
      </c>
      <c r="F13" s="154">
        <f t="shared" si="4"/>
        <v>12497489.482999999</v>
      </c>
      <c r="G13" s="154">
        <f t="shared" si="4"/>
        <v>2407250.091</v>
      </c>
      <c r="H13" s="154">
        <f t="shared" si="4"/>
        <v>3353462.62</v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69000</v>
      </c>
      <c r="D15" s="208">
        <f>IF(Inputs!D24="","",Inputs!D24)</f>
        <v>108000</v>
      </c>
      <c r="E15" s="208">
        <f>IF(Inputs!E24="","",Inputs!E24)</f>
        <v>1176000</v>
      </c>
      <c r="F15" s="208">
        <f>IF(Inputs!F24="","",Inputs!F24)</f>
        <v>247000</v>
      </c>
      <c r="G15" s="208">
        <f>IF(Inputs!G24="","",Inputs!G24)</f>
        <v>56000</v>
      </c>
      <c r="H15" s="208">
        <f>IF(Inputs!H24="","",Inputs!H24)</f>
        <v>122438.804</v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1160000</v>
      </c>
      <c r="D16" s="208">
        <f>IF(Inputs!D25="","",Inputs!D25)</f>
        <v>2541000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151000</v>
      </c>
      <c r="D18" s="208">
        <f>IF(Inputs!D27="","",Inputs!D27)</f>
        <v>-31000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2147062.893081761</v>
      </c>
      <c r="D19" s="237">
        <f>IF(D6="","",D9-D10-MAX(D17,0)-MAX(D18,0)/(1-Fin_Analysis!$I$84))</f>
        <v>4260811.9680000003</v>
      </c>
      <c r="E19" s="237">
        <f>IF(E6="","",E9-E10-MAX(E17,0)-MAX(E18,0)/(1-Fin_Analysis!$I$84))</f>
        <v>7210887.3150000004</v>
      </c>
      <c r="F19" s="237">
        <f>IF(F6="","",F9-F10-MAX(F17,0)-MAX(F18,0)/(1-Fin_Analysis!$I$84))</f>
        <v>12497489.482999999</v>
      </c>
      <c r="G19" s="237">
        <f>IF(G6="","",G9-G10-MAX(G17,0)-MAX(G18,0)/(1-Fin_Analysis!$I$84))</f>
        <v>2407250.091</v>
      </c>
      <c r="H19" s="237">
        <f>IF(H6="","",H9-H10-MAX(H17,0)-MAX(H18,0)/(1-Fin_Analysis!$I$84))</f>
        <v>3353462.62</v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-0.49609067257441558</v>
      </c>
      <c r="D20" s="238">
        <f t="shared" ref="D20:M20" si="5">IF(E19="","",IF(ABS(D19+E19)=ABS(D19)+ABS(E19),IF(D19&lt;0,-1,1)*(D19-E19)/E19,"Turn"))</f>
        <v>-0.40911405464113815</v>
      </c>
      <c r="E20" s="238">
        <f t="shared" si="5"/>
        <v>-0.42301313197272317</v>
      </c>
      <c r="F20" s="238">
        <f t="shared" si="5"/>
        <v>4.1916041169650118</v>
      </c>
      <c r="G20" s="238">
        <f t="shared" si="5"/>
        <v>-0.28215985571355501</v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1078062.893081761</v>
      </c>
      <c r="D21" s="77">
        <f>IF(D6="","",D13-MAX(D14,0)-MAX(D15,0)-MAX(D16,0)-MAX(D17,0)-MAX(D18,0)/(1-Fin_Analysis!$I$84))</f>
        <v>1611811.9680000003</v>
      </c>
      <c r="E21" s="77">
        <f>IF(E6="","",E13-MAX(E14,0)-MAX(E15,0)-MAX(E16,0)-MAX(E17,0)-MAX(E18,0)/(1-Fin_Analysis!$I$84))</f>
        <v>6034887.3150000004</v>
      </c>
      <c r="F21" s="77">
        <f>IF(F6="","",F13-MAX(F14,0)-MAX(F15,0)-MAX(F16,0)-MAX(F17,0)-MAX(F18,0)/(1-Fin_Analysis!$I$84))</f>
        <v>12250489.482999999</v>
      </c>
      <c r="G21" s="77">
        <f>IF(G6="","",G13-MAX(G14,0)-MAX(G15,0)-MAX(G16,0)-MAX(G17,0)-MAX(G18,0)/(1-Fin_Analysis!$I$84))</f>
        <v>2351250.091</v>
      </c>
      <c r="H21" s="77">
        <f>IF(H6="","",H13-MAX(H14,0)-MAX(H15,0)-MAX(H16,0)-MAX(H17,0)-MAX(H18,0)/(1-Fin_Analysis!$I$84))</f>
        <v>3231023.8160000001</v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-0.33114847483142601</v>
      </c>
      <c r="D22" s="156">
        <f t="shared" ref="D22:M22" si="6">IF(E21="","",IF(ABS(D21+E21)=ABS(D21)+ABS(E21),IF(D21&lt;0,-1,1)*(D21-E21)/E21,"Turn"))</f>
        <v>-0.73291763642483188</v>
      </c>
      <c r="E22" s="156">
        <f t="shared" si="6"/>
        <v>-0.50737582172740026</v>
      </c>
      <c r="F22" s="156">
        <f t="shared" si="6"/>
        <v>4.2102026619336765</v>
      </c>
      <c r="G22" s="156">
        <f t="shared" si="6"/>
        <v>-0.27228945841976426</v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9.7782087849401012E-2</v>
      </c>
      <c r="D23" s="157">
        <f t="shared" si="7"/>
        <v>0.10784948649877393</v>
      </c>
      <c r="E23" s="157">
        <f t="shared" si="7"/>
        <v>0.30845324318893436</v>
      </c>
      <c r="F23" s="157">
        <f t="shared" si="7"/>
        <v>0.39678151352058805</v>
      </c>
      <c r="G23" s="157">
        <f t="shared" si="7"/>
        <v>0.3175266494529877</v>
      </c>
      <c r="H23" s="157">
        <f t="shared" si="7"/>
        <v>0.32068563903869368</v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857059.99999999988</v>
      </c>
      <c r="D24" s="77">
        <f>IF(D6="","",D21*(1-Fin_Analysis!$I$84))</f>
        <v>1281390.5145600003</v>
      </c>
      <c r="E24" s="77">
        <f>IF(E6="","",E21*(1-Fin_Analysis!$I$84))</f>
        <v>4797735.4154249998</v>
      </c>
      <c r="F24" s="77">
        <f>IF(F6="","",F21*(1-Fin_Analysis!$I$84))</f>
        <v>9739139.1389849987</v>
      </c>
      <c r="G24" s="77">
        <f>IF(G6="","",G21*(1-Fin_Analysis!$I$84))</f>
        <v>1869243.8223449998</v>
      </c>
      <c r="H24" s="77">
        <f>IF(H6="","",H21*(1-Fin_Analysis!$I$84))</f>
        <v>2568663.9337200001</v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-0.33114847483142612</v>
      </c>
      <c r="D25" s="159">
        <f t="shared" ref="D25:M25" si="8">IF(E24="","",IF(ABS(D24+E24)=ABS(D24)+ABS(E24),IF(D24&lt;0,-1,1)*(D24-E24)/E24,"Turn"))</f>
        <v>-0.73291763642483188</v>
      </c>
      <c r="E25" s="159">
        <f t="shared" si="8"/>
        <v>-0.50737582172740026</v>
      </c>
      <c r="F25" s="159">
        <f t="shared" si="8"/>
        <v>4.2102026619336765</v>
      </c>
      <c r="G25" s="159">
        <f t="shared" si="8"/>
        <v>-0.27228945841976437</v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45107</v>
      </c>
      <c r="E26" s="49">
        <f t="shared" ref="E26" si="9">EOMONTH(EDATE(D26,-12),0)</f>
        <v>44742</v>
      </c>
      <c r="F26" s="49">
        <f t="shared" ref="F26" si="10">EOMONTH(EDATE(E26,-12),0)</f>
        <v>44377</v>
      </c>
      <c r="G26" s="49">
        <f t="shared" ref="G26" si="11">EOMONTH(EDATE(F26,-12),0)</f>
        <v>44012</v>
      </c>
      <c r="H26" s="49">
        <f t="shared" ref="H26" si="12">EOMONTH(EDATE(G26,-12),0)</f>
        <v>43646</v>
      </c>
      <c r="I26" s="49">
        <f t="shared" ref="I26" si="13">EOMONTH(EDATE(H26,-12),0)</f>
        <v>43281</v>
      </c>
      <c r="J26" s="49">
        <f t="shared" ref="J26" si="14">EOMONTH(EDATE(I26,-12),0)</f>
        <v>42916</v>
      </c>
      <c r="K26" s="49">
        <f t="shared" ref="K26" si="15">EOMONTH(EDATE(J26,-12),0)</f>
        <v>42551</v>
      </c>
      <c r="L26" s="49">
        <f t="shared" ref="L26" si="16">EOMONTH(EDATE(K26,-12),0)</f>
        <v>42185</v>
      </c>
      <c r="M26" s="49">
        <f t="shared" ref="M26" si="17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180344000</v>
      </c>
      <c r="D27" s="65">
        <f t="shared" ref="D27:M27" si="18">IF(D36="","",D36+D31+D32)</f>
        <v>179271273.183</v>
      </c>
      <c r="E27" s="65">
        <f t="shared" si="18"/>
        <v>178983875</v>
      </c>
      <c r="F27" s="65">
        <f t="shared" si="18"/>
        <v>181715197</v>
      </c>
      <c r="G27" s="65">
        <f t="shared" si="18"/>
        <v>186723801</v>
      </c>
      <c r="H27" s="65">
        <f t="shared" si="18"/>
        <v>180748380.384</v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70435000</v>
      </c>
      <c r="D28" s="208">
        <f>IF(Inputs!D28="","",Inputs!D28)</f>
        <v>67642638.682000011</v>
      </c>
      <c r="E28" s="208">
        <f>IF(Inputs!E28="","",Inputs!E28)</f>
        <v>71424985</v>
      </c>
      <c r="F28" s="208">
        <f>IF(Inputs!F28="","",Inputs!F28)</f>
        <v>74808371</v>
      </c>
      <c r="G28" s="208">
        <f>IF(Inputs!G28="","",Inputs!G28)</f>
        <v>80391448</v>
      </c>
      <c r="H28" s="208">
        <f>IF(Inputs!H28="","",Inputs!H28)</f>
        <v>74544144.430999994</v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8192000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6401000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7818000</v>
      </c>
      <c r="D31" s="208">
        <f>IF(Inputs!D31="","",Inputs!D31)</f>
        <v>10902268.852</v>
      </c>
      <c r="E31" s="208">
        <f>IF(Inputs!E31="","",Inputs!E31)</f>
        <v>15104618</v>
      </c>
      <c r="F31" s="208">
        <f>IF(Inputs!F31="","",Inputs!F31)</f>
        <v>17965728</v>
      </c>
      <c r="G31" s="208">
        <f>IF(Inputs!G31="","",Inputs!G31)</f>
        <v>32319376</v>
      </c>
      <c r="H31" s="208">
        <f>IF(Inputs!H31="","",Inputs!H31)</f>
        <v>25385564.491</v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6210000</v>
      </c>
      <c r="D32" s="208">
        <f>IF(Inputs!D32="","",Inputs!D32)</f>
        <v>5264160.8319999855</v>
      </c>
      <c r="E32" s="208">
        <f>IF(Inputs!E32="","",Inputs!E32)</f>
        <v>5650742</v>
      </c>
      <c r="F32" s="208">
        <f>IF(Inputs!F32="","",Inputs!F32)</f>
        <v>6940870</v>
      </c>
      <c r="G32" s="208">
        <f>IF(Inputs!G32="","",Inputs!G32)</f>
        <v>8645236</v>
      </c>
      <c r="H32" s="208">
        <f>IF(Inputs!H32="","",Inputs!H32)</f>
        <v>9200711.5279999934</v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20000</v>
      </c>
      <c r="D33" s="208">
        <f>IF(Inputs!D33="","",Inputs!D33)</f>
        <v>3672538.0279999999</v>
      </c>
      <c r="E33" s="208">
        <f>IF(Inputs!E33="","",Inputs!E33)</f>
        <v>2284708</v>
      </c>
      <c r="F33" s="208">
        <f>IF(Inputs!F33="","",Inputs!F33)</f>
        <v>2894189</v>
      </c>
      <c r="G33" s="208">
        <f>IF(Inputs!G33="","",Inputs!G33)</f>
        <v>864027</v>
      </c>
      <c r="H33" s="208">
        <f>IF(Inputs!H33="","",Inputs!H33)</f>
        <v>0</v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847000</v>
      </c>
      <c r="D34" s="208">
        <f>IF(Inputs!D34="","",Inputs!D34)</f>
        <v>2447343.9303310001</v>
      </c>
      <c r="E34" s="208">
        <f>IF(Inputs!E34="","",Inputs!E34)</f>
        <v>2814396</v>
      </c>
      <c r="F34" s="208">
        <f>IF(Inputs!F34="","",Inputs!F34)</f>
        <v>4131550</v>
      </c>
      <c r="G34" s="208">
        <f>IF(Inputs!G34="","",Inputs!G34)</f>
        <v>6139127</v>
      </c>
      <c r="H34" s="208">
        <f>IF(Inputs!H34="","",Inputs!H34)</f>
        <v>6755357.8790000007</v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867000</v>
      </c>
      <c r="D35" s="77">
        <f t="shared" ref="D35" si="20">IF(OR(D33="",D34=""),"",D33+D34)</f>
        <v>6119881.9583310001</v>
      </c>
      <c r="E35" s="77">
        <f t="shared" ref="E35" si="21">IF(OR(E33="",E34=""),"",E33+E34)</f>
        <v>5099104</v>
      </c>
      <c r="F35" s="77">
        <f t="shared" ref="F35" si="22">IF(OR(F33="",F34=""),"",F33+F34)</f>
        <v>7025739</v>
      </c>
      <c r="G35" s="77">
        <f t="shared" ref="G35" si="23">IF(OR(G33="",G34=""),"",G33+G34)</f>
        <v>7003154</v>
      </c>
      <c r="H35" s="77">
        <f t="shared" ref="H35" si="24">IF(OR(H33="",H34=""),"",H33+H34)</f>
        <v>6755357.8790000007</v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166316000</v>
      </c>
      <c r="D36" s="208">
        <f>IF(Inputs!D35="","",Inputs!D35)</f>
        <v>163104843.49900001</v>
      </c>
      <c r="E36" s="208">
        <f>IF(Inputs!E35="","",Inputs!E35)</f>
        <v>158228515</v>
      </c>
      <c r="F36" s="208">
        <f>IF(Inputs!F35="","",Inputs!F35)</f>
        <v>156808599</v>
      </c>
      <c r="G36" s="208">
        <f>IF(Inputs!G35="","",Inputs!G35)</f>
        <v>145759189</v>
      </c>
      <c r="H36" s="208">
        <f>IF(Inputs!H35="","",Inputs!H35)</f>
        <v>146162104.36500001</v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526000</v>
      </c>
      <c r="D37" s="208">
        <f>IF(Inputs!D36="","",Inputs!D36)</f>
        <v>7297</v>
      </c>
      <c r="E37" s="208">
        <f>IF(Inputs!E36="","",Inputs!E36)</f>
        <v>1498</v>
      </c>
      <c r="F37" s="208">
        <f>IF(Inputs!F36="","",Inputs!F36)</f>
        <v>2853</v>
      </c>
      <c r="G37" s="208">
        <f>IF(Inputs!G36="","",Inputs!G36)</f>
        <v>696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139541000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40803000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2.6421167391656519E-2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0.60969766115231028</v>
      </c>
      <c r="D42" s="161">
        <f t="shared" si="33"/>
        <v>0.5464500441899709</v>
      </c>
      <c r="E42" s="161">
        <f t="shared" si="33"/>
        <v>0.46944723647813119</v>
      </c>
      <c r="F42" s="161">
        <f t="shared" si="33"/>
        <v>0.44858807240232312</v>
      </c>
      <c r="G42" s="161">
        <f t="shared" si="33"/>
        <v>0.41401025465407187</v>
      </c>
      <c r="H42" s="161">
        <f t="shared" si="33"/>
        <v>0.43937118023811716</v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0.10541928123217342</v>
      </c>
      <c r="D43" s="157">
        <f t="shared" ref="D43:M43" si="34">IF(D6="","",(D10-MAX(D12,0))/D6)</f>
        <v>9.4934547318090104E-2</v>
      </c>
      <c r="E43" s="157">
        <f t="shared" si="34"/>
        <v>6.6954547698900621E-2</v>
      </c>
      <c r="F43" s="157">
        <f t="shared" si="34"/>
        <v>4.2252676301759051E-2</v>
      </c>
      <c r="G43" s="157">
        <f t="shared" si="34"/>
        <v>0.17707248872409326</v>
      </c>
      <c r="H43" s="157">
        <f t="shared" si="34"/>
        <v>0.14196474729614711</v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7.8722190530519116E-3</v>
      </c>
      <c r="D44" s="157">
        <f t="shared" ref="D44:M44" si="35">IF(D6="","",(MAX(D14,0)+MAX(D15,0))/D6)</f>
        <v>9.089925678017953E-3</v>
      </c>
      <c r="E44" s="157">
        <f t="shared" si="35"/>
        <v>7.5606714956384061E-2</v>
      </c>
      <c r="F44" s="157">
        <f t="shared" si="35"/>
        <v>1.00630078737944E-2</v>
      </c>
      <c r="G44" s="157">
        <f t="shared" si="35"/>
        <v>9.5126661149320321E-3</v>
      </c>
      <c r="H44" s="157">
        <f t="shared" si="35"/>
        <v>1.5285910152913532E-2</v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0.13234455219623503</v>
      </c>
      <c r="D45" s="157">
        <f t="shared" si="36"/>
        <v>0.21386575136892241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>
        <f t="shared" si="37"/>
        <v>0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2.1669949448743755E-2</v>
      </c>
      <c r="D47" s="157">
        <f>IF(D6="","",MAX(D18,0)/(1-Fin_Analysis!$I$84)/D6)</f>
        <v>0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>
        <f>IF(H6="","",MAX(H18,0)/(1-Fin_Analysis!$I$84)/H6)</f>
        <v>0</v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0.12299633691748556</v>
      </c>
      <c r="D48" s="157">
        <f t="shared" si="38"/>
        <v>0.13565973144499865</v>
      </c>
      <c r="E48" s="157">
        <f t="shared" si="38"/>
        <v>0.38799150086658413</v>
      </c>
      <c r="F48" s="157">
        <f t="shared" si="38"/>
        <v>0.49909624342212339</v>
      </c>
      <c r="G48" s="157">
        <f t="shared" si="38"/>
        <v>0.3994045905069028</v>
      </c>
      <c r="H48" s="157">
        <f t="shared" si="38"/>
        <v>0.4033781623128222</v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0.93462635482030809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0.73029092983456934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7.7784678170607288E-2</v>
      </c>
      <c r="D53" s="161">
        <f t="shared" ref="D53:M53" si="41">IF(D36="","",(D27-D36)/D27)</f>
        <v>9.0178584649740864E-2</v>
      </c>
      <c r="E53" s="161">
        <f t="shared" si="41"/>
        <v>0.11596217815711052</v>
      </c>
      <c r="F53" s="161">
        <f t="shared" si="41"/>
        <v>0.13706392426826031</v>
      </c>
      <c r="G53" s="161">
        <f t="shared" si="41"/>
        <v>0.21938612957005946</v>
      </c>
      <c r="H53" s="161">
        <f t="shared" si="41"/>
        <v>0.19135040626932001</v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1.2434404764495512</v>
      </c>
      <c r="D54" s="162">
        <f t="shared" ref="D54:M54" si="42">IF(OR(D21="",D35=""),"",IF(D35&lt;=0,"-",D21/D35))</f>
        <v>0.26337304852846705</v>
      </c>
      <c r="E54" s="162">
        <f t="shared" si="42"/>
        <v>1.1835191663084339</v>
      </c>
      <c r="F54" s="162">
        <f t="shared" si="42"/>
        <v>1.7436584938609303</v>
      </c>
      <c r="G54" s="162">
        <f t="shared" si="42"/>
        <v>0.33574159457295955</v>
      </c>
      <c r="H54" s="162">
        <f t="shared" si="42"/>
        <v>0.47829054712913155</v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>-</v>
      </c>
      <c r="F55" s="157" t="str">
        <f t="shared" si="43"/>
        <v>-</v>
      </c>
      <c r="G55" s="157" t="str">
        <f t="shared" si="43"/>
        <v>-</v>
      </c>
      <c r="H55" s="157" t="str">
        <f t="shared" si="43"/>
        <v>-</v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9.0093374264517774</v>
      </c>
      <c r="D56" s="163">
        <f t="shared" si="44"/>
        <v>6.2044552010466241</v>
      </c>
      <c r="E56" s="163">
        <f t="shared" si="44"/>
        <v>4.7286852934645554</v>
      </c>
      <c r="F56" s="163">
        <f t="shared" si="44"/>
        <v>4.1639487695683695</v>
      </c>
      <c r="G56" s="163">
        <f t="shared" si="44"/>
        <v>2.4874071826139219</v>
      </c>
      <c r="H56" s="163">
        <f t="shared" si="44"/>
        <v>2.9364777158068827</v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31" zoomScaleNormal="100" workbookViewId="0">
      <selection activeCell="E39" sqref="E3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166316000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165790000</v>
      </c>
      <c r="K3" s="24"/>
    </row>
    <row r="4" spans="1:11" ht="15" customHeight="1" x14ac:dyDescent="0.4">
      <c r="B4" s="3" t="s">
        <v>25</v>
      </c>
      <c r="C4" s="87"/>
      <c r="D4" s="65">
        <f>D3-I3</f>
        <v>526000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84351600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45574000</v>
      </c>
      <c r="D11" s="207">
        <f>Inputs!D40</f>
        <v>0.9</v>
      </c>
      <c r="E11" s="88">
        <f t="shared" ref="E11:E21" si="0">C11*D11</f>
        <v>41016600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843000</v>
      </c>
      <c r="D12" s="207">
        <f>Inputs!D41</f>
        <v>0.8</v>
      </c>
      <c r="E12" s="88">
        <f t="shared" si="0"/>
        <v>674400</v>
      </c>
      <c r="F12" s="113"/>
      <c r="G12" s="87"/>
      <c r="H12" s="3" t="s">
        <v>40</v>
      </c>
      <c r="I12" s="40">
        <f>Inputs!C67</f>
        <v>20000</v>
      </c>
      <c r="J12" s="87"/>
      <c r="K12" s="24"/>
    </row>
    <row r="13" spans="1:11" ht="13.9" x14ac:dyDescent="0.4">
      <c r="B13" s="3" t="s">
        <v>121</v>
      </c>
      <c r="C13" s="40">
        <f>Inputs!C42</f>
        <v>8192000</v>
      </c>
      <c r="D13" s="207">
        <f>Inputs!D42</f>
        <v>0.6</v>
      </c>
      <c r="E13" s="88">
        <f t="shared" si="0"/>
        <v>4915200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13000</v>
      </c>
      <c r="D14" s="207">
        <f>Inputs!D43</f>
        <v>0.6</v>
      </c>
      <c r="E14" s="88">
        <f>C14*D14</f>
        <v>7800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6000</v>
      </c>
      <c r="D15" s="207">
        <f>Inputs!D44</f>
        <v>0.5</v>
      </c>
      <c r="E15" s="88">
        <f>C15*D15</f>
        <v>3000</v>
      </c>
      <c r="F15" s="113"/>
      <c r="G15" s="87"/>
      <c r="H15" s="1" t="s">
        <v>54</v>
      </c>
      <c r="I15" s="84">
        <f>SUM(I11:I14)</f>
        <v>20000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6401000</v>
      </c>
      <c r="D18" s="207">
        <f>Inputs!D47</f>
        <v>0.5</v>
      </c>
      <c r="E18" s="88">
        <f t="shared" si="0"/>
        <v>3200500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9403000</v>
      </c>
      <c r="D20" s="207">
        <f>Inputs!D49</f>
        <v>0.6</v>
      </c>
      <c r="E20" s="88">
        <f t="shared" si="0"/>
        <v>5641800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3000</v>
      </c>
      <c r="D21" s="207">
        <f>Inputs!D50</f>
        <v>0.9</v>
      </c>
      <c r="E21" s="88">
        <f t="shared" si="0"/>
        <v>2700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7798000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54622000</v>
      </c>
      <c r="D24" s="62">
        <f>IF(E24=0,0,E24/C24)</f>
        <v>0.85339240599026034</v>
      </c>
      <c r="E24" s="88">
        <f>SUM(E11:E14)</f>
        <v>46614000</v>
      </c>
      <c r="F24" s="114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6000</v>
      </c>
      <c r="D25" s="62">
        <f>IF(E25=0,0,E25/C25)</f>
        <v>0.5</v>
      </c>
      <c r="E25" s="88">
        <f>SUM(E15:E17)</f>
        <v>3000</v>
      </c>
      <c r="F25" s="114">
        <f t="shared" ref="F25:F27" si="2"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15804000</v>
      </c>
      <c r="D26" s="62">
        <f t="shared" ref="D26:D27" si="3">IF(E26=0,0,E26/C26)</f>
        <v>0.55949759554543155</v>
      </c>
      <c r="E26" s="88">
        <f>E18+E19+E20</f>
        <v>8842300</v>
      </c>
      <c r="F26" s="114">
        <f t="shared" si="2"/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3000</v>
      </c>
      <c r="D27" s="62">
        <f t="shared" si="3"/>
        <v>0.9</v>
      </c>
      <c r="E27" s="88">
        <f>E21+E22</f>
        <v>2700</v>
      </c>
      <c r="F27" s="114">
        <f t="shared" si="2"/>
        <v>4.8681980455086365E-5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70435000</v>
      </c>
      <c r="D28" s="57">
        <f t="shared" ref="D28" si="4">E28/C28</f>
        <v>0.78742102647831336</v>
      </c>
      <c r="E28" s="70">
        <f>SUM(E24:E27)</f>
        <v>55462000</v>
      </c>
      <c r="F28" s="113"/>
      <c r="G28" s="87"/>
      <c r="H28" s="78" t="s">
        <v>16</v>
      </c>
      <c r="I28" s="215">
        <f>Inputs!C70</f>
        <v>7818000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832000</v>
      </c>
      <c r="J30" s="87"/>
    </row>
    <row r="31" spans="2:10" ht="15" customHeight="1" x14ac:dyDescent="0.4">
      <c r="B31" s="3" t="s">
        <v>63</v>
      </c>
      <c r="C31" s="40">
        <f>Inputs!C53</f>
        <v>1241000</v>
      </c>
      <c r="D31" s="207">
        <f>Inputs!D53</f>
        <v>0.6</v>
      </c>
      <c r="E31" s="88">
        <f t="shared" ref="E31:E42" si="5">C31*D31</f>
        <v>744600</v>
      </c>
      <c r="F31" s="113"/>
      <c r="G31" s="87"/>
      <c r="H31" s="3" t="s">
        <v>64</v>
      </c>
      <c r="I31" s="40">
        <f>Inputs!C72</f>
        <v>15000</v>
      </c>
      <c r="J31" s="87"/>
    </row>
    <row r="32" spans="2:10" ht="15" customHeight="1" x14ac:dyDescent="0.4">
      <c r="B32" s="3" t="s">
        <v>65</v>
      </c>
      <c r="C32" s="40">
        <f>Inputs!C54</f>
        <v>69365000</v>
      </c>
      <c r="D32" s="207">
        <f>Inputs!D54</f>
        <v>0.5</v>
      </c>
      <c r="E32" s="88">
        <f t="shared" si="5"/>
        <v>34682500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13047000</v>
      </c>
      <c r="D34" s="207">
        <f>Inputs!D56</f>
        <v>0.4</v>
      </c>
      <c r="E34" s="88">
        <f t="shared" si="5"/>
        <v>5218800</v>
      </c>
      <c r="F34" s="113"/>
      <c r="G34" s="87"/>
      <c r="H34" s="1" t="s">
        <v>78</v>
      </c>
      <c r="I34" s="84">
        <f>SUM(I30:I33)</f>
        <v>847000</v>
      </c>
      <c r="J34" s="87"/>
    </row>
    <row r="35" spans="2:10" ht="13.9" x14ac:dyDescent="0.4">
      <c r="B35" s="3" t="s">
        <v>70</v>
      </c>
      <c r="C35" s="40">
        <f>Inputs!C57</f>
        <v>23342000</v>
      </c>
      <c r="D35" s="207">
        <f>Inputs!D57</f>
        <v>0.1</v>
      </c>
      <c r="E35" s="88">
        <f t="shared" si="5"/>
        <v>2334200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1641000</v>
      </c>
      <c r="D36" s="207">
        <f>Inputs!D58</f>
        <v>0.2</v>
      </c>
      <c r="E36" s="88">
        <f t="shared" si="5"/>
        <v>328200</v>
      </c>
      <c r="F36" s="230" t="s">
        <v>46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1263000</v>
      </c>
      <c r="D38" s="207">
        <f>Inputs!D60</f>
        <v>0.1</v>
      </c>
      <c r="E38" s="88">
        <f>C38*D38</f>
        <v>126300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10000</v>
      </c>
      <c r="D41" s="207">
        <f>Inputs!D63</f>
        <v>0.9</v>
      </c>
      <c r="E41" s="88">
        <f t="shared" si="5"/>
        <v>9000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5363000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1241000</v>
      </c>
      <c r="D44" s="62">
        <f>IF(E44=0,0,E44/C44)</f>
        <v>0.6</v>
      </c>
      <c r="E44" s="88">
        <f>SUM(E30:E31)</f>
        <v>744600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105754000</v>
      </c>
      <c r="D45" s="62">
        <f>IF(E45=0,0,E45/C45)</f>
        <v>0.39937496454034838</v>
      </c>
      <c r="E45" s="88">
        <f>SUM(E32:E35)</f>
        <v>42235500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2904000</v>
      </c>
      <c r="D46" s="62">
        <f t="shared" ref="D46:D47" si="6">IF(E46=0,0,E46/C46)</f>
        <v>0.15650826446280991</v>
      </c>
      <c r="E46" s="88">
        <f>E36+E37+E38+E39</f>
        <v>454500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10000</v>
      </c>
      <c r="D47" s="62">
        <f t="shared" si="6"/>
        <v>0.9</v>
      </c>
      <c r="E47" s="88">
        <f>E40+E41+E42</f>
        <v>9000</v>
      </c>
      <c r="F47" s="87"/>
      <c r="G47" s="87"/>
      <c r="H47" s="23" t="s">
        <v>83</v>
      </c>
      <c r="I47" s="63">
        <f>(E44+E45+E24+E25)/$I$49</f>
        <v>6.3870188195038491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109909000</v>
      </c>
      <c r="D48" s="82">
        <f>E48/C48</f>
        <v>0.39526881329099528</v>
      </c>
      <c r="E48" s="76">
        <f>SUM(E30:E42)</f>
        <v>43443600</v>
      </c>
      <c r="F48" s="87"/>
      <c r="G48" s="87"/>
      <c r="H48" s="80" t="s">
        <v>85</v>
      </c>
      <c r="I48" s="216">
        <f>Inputs!C75</f>
        <v>6210000</v>
      </c>
      <c r="J48" s="8"/>
    </row>
    <row r="49" spans="2:11" ht="15" customHeight="1" thickTop="1" x14ac:dyDescent="0.4">
      <c r="B49" s="3" t="s">
        <v>14</v>
      </c>
      <c r="C49" s="61">
        <f>C28+C48</f>
        <v>180344000</v>
      </c>
      <c r="D49" s="56">
        <f>E49/C49</f>
        <v>0.54842744976267577</v>
      </c>
      <c r="E49" s="88">
        <f>E28+E48</f>
        <v>98905600</v>
      </c>
      <c r="F49" s="87"/>
      <c r="G49" s="87"/>
      <c r="H49" s="3" t="s">
        <v>86</v>
      </c>
      <c r="I49" s="52">
        <f>I28+I48</f>
        <v>14028000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526000</v>
      </c>
      <c r="D53" s="29">
        <f>IF(E53=0, 0,E53/C53)</f>
        <v>1</v>
      </c>
      <c r="E53" s="88">
        <f>IF(C53=0,0,MAX(C53,C53*Dashboard!G23))</f>
        <v>526000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1">
        <f>I15+I34</f>
        <v>867000</v>
      </c>
      <c r="E56" s="24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0">
        <f>Inputs!C77</f>
        <v>0</v>
      </c>
      <c r="E57" s="24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0">
        <f>Inputs!C78</f>
        <v>0</v>
      </c>
      <c r="E58" s="24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93967000</v>
      </c>
      <c r="D61" s="56">
        <f t="shared" ref="D61:D70" si="7">IF(E61=0,0,E61/C61)</f>
        <v>0.40197196888269288</v>
      </c>
      <c r="E61" s="52">
        <f>E14+E15+(E19*G19)+(E20*G20)+E31+E32+(E35*G35)+(E36*G36)+(E37*G37)</f>
        <v>37772100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45574000</v>
      </c>
      <c r="D62" s="108">
        <f t="shared" si="7"/>
        <v>0.9</v>
      </c>
      <c r="E62" s="119">
        <f>E11+E30</f>
        <v>41016600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139541000</v>
      </c>
      <c r="D63" s="29">
        <f t="shared" si="7"/>
        <v>0.56462760049017846</v>
      </c>
      <c r="E63" s="61">
        <f>E61+E62</f>
        <v>78788700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867000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138674000</v>
      </c>
      <c r="D65" s="29">
        <f t="shared" si="7"/>
        <v>0.56190562037584546</v>
      </c>
      <c r="E65" s="61">
        <f>E63-E64</f>
        <v>77921700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40803000</v>
      </c>
      <c r="D68" s="29">
        <f t="shared" si="7"/>
        <v>0.49302502266990172</v>
      </c>
      <c r="E68" s="68">
        <f>E49-E63</f>
        <v>20116900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13161000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27642000</v>
      </c>
      <c r="D70" s="29">
        <f t="shared" si="7"/>
        <v>0.2516424281889878</v>
      </c>
      <c r="E70" s="68">
        <f>E68-E69</f>
        <v>6955900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4">
        <f>Data!C5</f>
        <v>45473</v>
      </c>
      <c r="D72" s="254"/>
      <c r="E72" s="252" t="s">
        <v>226</v>
      </c>
      <c r="F72" s="252"/>
      <c r="H72" s="252" t="s">
        <v>225</v>
      </c>
      <c r="I72" s="25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3" t="s">
        <v>103</v>
      </c>
      <c r="D73" s="253"/>
      <c r="E73" s="255" t="s">
        <v>104</v>
      </c>
      <c r="F73" s="253"/>
      <c r="H73" s="255" t="s">
        <v>104</v>
      </c>
      <c r="I73" s="253"/>
      <c r="K73" s="24"/>
    </row>
    <row r="74" spans="1:11" ht="15" customHeight="1" x14ac:dyDescent="0.4">
      <c r="B74" s="3" t="s">
        <v>136</v>
      </c>
      <c r="C74" s="77">
        <f>Data!C6</f>
        <v>8765000</v>
      </c>
      <c r="D74" s="218"/>
      <c r="E74" s="205">
        <f>H74*0.8</f>
        <v>7012000</v>
      </c>
      <c r="F74" s="218"/>
      <c r="H74" s="205">
        <f>C74</f>
        <v>8765000</v>
      </c>
      <c r="I74" s="218"/>
      <c r="K74" s="24"/>
    </row>
    <row r="75" spans="1:11" ht="15" customHeight="1" x14ac:dyDescent="0.4">
      <c r="B75" s="105" t="s">
        <v>109</v>
      </c>
      <c r="C75" s="77">
        <f>Data!C8</f>
        <v>5344000</v>
      </c>
      <c r="D75" s="164">
        <f>C75/$C$74</f>
        <v>0.60969766115231028</v>
      </c>
      <c r="E75" s="186">
        <f>E74*F75</f>
        <v>4275200</v>
      </c>
      <c r="F75" s="165">
        <f>I75</f>
        <v>0.60969766115231028</v>
      </c>
      <c r="H75" s="205">
        <f>D75*H74</f>
        <v>5344000</v>
      </c>
      <c r="I75" s="165">
        <f>H75/$H$74</f>
        <v>0.60969766115231028</v>
      </c>
      <c r="K75" s="24"/>
    </row>
    <row r="76" spans="1:11" ht="15" customHeight="1" x14ac:dyDescent="0.4">
      <c r="B76" s="35" t="s">
        <v>96</v>
      </c>
      <c r="C76" s="166">
        <f>C74-C75</f>
        <v>3421000</v>
      </c>
      <c r="D76" s="219"/>
      <c r="E76" s="167">
        <f>E74-E75</f>
        <v>2736800</v>
      </c>
      <c r="F76" s="219"/>
      <c r="H76" s="167">
        <f>H74-H75</f>
        <v>3421000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924000</v>
      </c>
      <c r="D77" s="164">
        <f>C77/$C$74</f>
        <v>0.10541928123217342</v>
      </c>
      <c r="E77" s="186">
        <f>E74*F77</f>
        <v>739200</v>
      </c>
      <c r="F77" s="165">
        <f>I77</f>
        <v>0.10541928123217342</v>
      </c>
      <c r="H77" s="205">
        <f>D77*H74</f>
        <v>924000</v>
      </c>
      <c r="I77" s="165">
        <f>H77/$H$74</f>
        <v>0.10541928123217342</v>
      </c>
      <c r="K77" s="24"/>
    </row>
    <row r="78" spans="1:11" ht="15" customHeight="1" x14ac:dyDescent="0.4">
      <c r="B78" s="35" t="s">
        <v>97</v>
      </c>
      <c r="C78" s="166">
        <f>C76-C77</f>
        <v>2497000</v>
      </c>
      <c r="D78" s="219"/>
      <c r="E78" s="167">
        <f>E76-E77</f>
        <v>1997600</v>
      </c>
      <c r="F78" s="219"/>
      <c r="H78" s="167">
        <f>H76-H77</f>
        <v>2497000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69000</v>
      </c>
      <c r="D80" s="164">
        <f>C80/$C$74</f>
        <v>7.8722190530519116E-3</v>
      </c>
      <c r="E80" s="186">
        <f>E74*F80</f>
        <v>55200.000000000007</v>
      </c>
      <c r="F80" s="165">
        <f t="shared" si="8"/>
        <v>7.8722190530519116E-3</v>
      </c>
      <c r="H80" s="205">
        <f>H74*D80</f>
        <v>69000</v>
      </c>
      <c r="I80" s="165">
        <f>H80/$H$74</f>
        <v>7.8722190530519116E-3</v>
      </c>
      <c r="K80" s="24"/>
    </row>
    <row r="81" spans="1:11" ht="15" customHeight="1" x14ac:dyDescent="0.4">
      <c r="B81" s="28" t="s">
        <v>113</v>
      </c>
      <c r="C81" s="77">
        <f>MAX(Data!C16,0)</f>
        <v>1160000</v>
      </c>
      <c r="D81" s="164">
        <f>C81/$C$74</f>
        <v>0.13234455219623503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151000</v>
      </c>
      <c r="D82" s="164">
        <f>C82/$C$74</f>
        <v>1.7227609811751282E-2</v>
      </c>
      <c r="E82" s="186">
        <f>E74*F82</f>
        <v>120799.99999999999</v>
      </c>
      <c r="F82" s="165">
        <f t="shared" si="8"/>
        <v>1.7227609811751282E-2</v>
      </c>
      <c r="H82" s="205">
        <f>H74*D82</f>
        <v>151000</v>
      </c>
      <c r="I82" s="165">
        <f>H82/$H$74</f>
        <v>1.7227609811751282E-2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1117000</v>
      </c>
      <c r="D83" s="169">
        <f>C83/$C$74</f>
        <v>0.12743867655447805</v>
      </c>
      <c r="E83" s="170">
        <f>E78-E79-E80-E81-E82</f>
        <v>1821600</v>
      </c>
      <c r="F83" s="169">
        <f>E83/E74</f>
        <v>0.25978322875071308</v>
      </c>
      <c r="H83" s="170">
        <f>H78-H79-H80-H81-H82</f>
        <v>2277000</v>
      </c>
      <c r="I83" s="169">
        <f>H83/$H$74</f>
        <v>0.25978322875071308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0.20500000000000002</v>
      </c>
      <c r="E84" s="221"/>
      <c r="F84" s="185">
        <f t="shared" si="8"/>
        <v>0.20500000000000002</v>
      </c>
      <c r="H84" s="221"/>
      <c r="I84" s="211">
        <f>Inputs!C16</f>
        <v>0.20500000000000002</v>
      </c>
      <c r="K84" s="24"/>
    </row>
    <row r="85" spans="1:11" ht="15" customHeight="1" x14ac:dyDescent="0.4">
      <c r="B85" s="86" t="s">
        <v>176</v>
      </c>
      <c r="C85" s="166">
        <f>C83*(1-I84)</f>
        <v>888014.99999999988</v>
      </c>
      <c r="D85" s="171">
        <f>C85/$C$74</f>
        <v>0.10131374786081003</v>
      </c>
      <c r="E85" s="172">
        <f>E83*(1-F84)</f>
        <v>1448171.9999999998</v>
      </c>
      <c r="F85" s="171">
        <f>E85/E74</f>
        <v>0.20652766685681684</v>
      </c>
      <c r="H85" s="172">
        <f>H83*(1-I84)</f>
        <v>1810214.9999999998</v>
      </c>
      <c r="I85" s="171">
        <f>H85/$H$74</f>
        <v>0.20652766685681687</v>
      </c>
      <c r="K85" s="24"/>
    </row>
    <row r="86" spans="1:11" ht="15" customHeight="1" x14ac:dyDescent="0.4">
      <c r="B86" s="87" t="s">
        <v>172</v>
      </c>
      <c r="C86" s="173">
        <f>C85*Data!C4/Common_Shares</f>
        <v>0.10866716189600169</v>
      </c>
      <c r="D86" s="218"/>
      <c r="E86" s="174">
        <f>E85*Data!C4/Common_Shares</f>
        <v>0.17721405739458967</v>
      </c>
      <c r="F86" s="218"/>
      <c r="H86" s="174">
        <f>H85*Data!C4/Common_Shares</f>
        <v>0.22151757174323711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1.3703299400798105E-2</v>
      </c>
      <c r="D87" s="218"/>
      <c r="E87" s="239">
        <f>E86/Dashboard!G3</f>
        <v>2.2347296498203963E-2</v>
      </c>
      <c r="F87" s="218"/>
      <c r="H87" s="239">
        <f>H86/Dashboard!G3</f>
        <v>2.7934120622754955E-2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0.57999999999999996</v>
      </c>
      <c r="D88" s="171">
        <f>C88/C86</f>
        <v>5.3373989886206878</v>
      </c>
      <c r="E88" s="204">
        <f>H88</f>
        <v>0.57999999999999996</v>
      </c>
      <c r="F88" s="171">
        <f>E88/E86</f>
        <v>3.2728780579102486</v>
      </c>
      <c r="H88" s="176">
        <f>Inputs!F6</f>
        <v>0.57999999999999996</v>
      </c>
      <c r="I88" s="171">
        <f>H88/H86</f>
        <v>2.6183024463281988</v>
      </c>
      <c r="K88" s="24"/>
    </row>
    <row r="89" spans="1:11" ht="15" customHeight="1" x14ac:dyDescent="0.4">
      <c r="B89" s="87" t="s">
        <v>229</v>
      </c>
      <c r="C89" s="165">
        <f>C88/Dashboard!G3</f>
        <v>7.3139976362586276E-2</v>
      </c>
      <c r="D89" s="218"/>
      <c r="E89" s="165">
        <f>E88/Dashboard!G3</f>
        <v>7.3139976362586276E-2</v>
      </c>
      <c r="F89" s="218"/>
      <c r="H89" s="165">
        <f>H88/Dashboard!G3</f>
        <v>7.3139976362586276E-2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2" t="s">
        <v>226</v>
      </c>
      <c r="F92" s="252"/>
      <c r="G92" s="87"/>
      <c r="H92" s="252" t="s">
        <v>225</v>
      </c>
      <c r="I92" s="252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230</v>
      </c>
      <c r="F93" s="146">
        <f>FV(E87,D93,0,-(E86/C93))</f>
        <v>2.8274334616665753</v>
      </c>
      <c r="H93" s="87" t="s">
        <v>230</v>
      </c>
      <c r="I93" s="146">
        <f>FV(H87,D93,0,-(H86/C93))</f>
        <v>3.6319223273511687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11.792661173730226</v>
      </c>
      <c r="H94" s="87" t="s">
        <v>231</v>
      </c>
      <c r="I94" s="146">
        <f>FV(H89,D93,0,-(H88/C93))</f>
        <v>11.792661173730226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21161168.280886594</v>
      </c>
      <c r="E97" s="124">
        <f>PV(C94,D93,0,-F93)*Exchange_Rate</f>
        <v>1.4057341377445303</v>
      </c>
      <c r="F97" s="124">
        <f>PV(C93,D93,0,-F93)*Exchange_Rate</f>
        <v>2.0159209815779344</v>
      </c>
      <c r="H97" s="124">
        <f>PV(C93,D93,0,-I93)*Exchange_Rate</f>
        <v>2.5895104243595428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526000</v>
      </c>
      <c r="E98" s="222"/>
      <c r="F98" s="222"/>
      <c r="H98" s="124">
        <f>C98*Data!$C$4/Common_Shares</f>
        <v>6.4367073931517929E-2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77921700</v>
      </c>
      <c r="E99" s="223"/>
      <c r="F99" s="148">
        <f>H99*0.85</f>
        <v>8.1050438232968176</v>
      </c>
      <c r="H99" s="148">
        <f>C99*Data!$C$4/Common_Shares</f>
        <v>9.5353456744668446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98556868.28088659</v>
      </c>
      <c r="E100" s="110">
        <f>MAX(E97-H98+F99,0)</f>
        <v>9.4464108871098293</v>
      </c>
      <c r="F100" s="110">
        <f>MAX(F97-H98+F99,0)</f>
        <v>10.056597730943235</v>
      </c>
      <c r="H100" s="110">
        <f>MAX(C100*Data!$C$4/Common_Shares,0)</f>
        <v>12.060489024894871</v>
      </c>
      <c r="I100" s="110">
        <f>H100*1.25</f>
        <v>15.075611281118588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68709202.754008785</v>
      </c>
      <c r="E103" s="110">
        <f>PV(C94,D93,0,-F94)*Exchange_Rate</f>
        <v>5.8630367828340928</v>
      </c>
      <c r="F103" s="124">
        <f>PV(C93,D93,0,-F94)*Exchange_Rate</f>
        <v>8.4080044362033064</v>
      </c>
      <c r="H103" s="124">
        <f>PV(C93,D93,0,-I94)*Exchange_Rate</f>
        <v>8.4080044362033064</v>
      </c>
      <c r="I103" s="110">
        <f>H103*1.25</f>
        <v>10.510005545254133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75445255.987963468</v>
      </c>
      <c r="E106" s="110">
        <f>(E100+E103)/2</f>
        <v>7.6547238349719606</v>
      </c>
      <c r="F106" s="124">
        <f>(F100+F103)/2</f>
        <v>9.2323010835732706</v>
      </c>
      <c r="H106" s="124">
        <f>(H100+H103)/2</f>
        <v>10.234246730549089</v>
      </c>
      <c r="I106" s="110">
        <f>H106*1.25</f>
        <v>12.792808413186361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2024-11-13T07:51:40Z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