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E3460BF-11C2-411B-B055-3971A9CAC0F2}" xr6:coauthVersionLast="47" xr6:coauthVersionMax="47" xr10:uidLastSave="{00000000-0000-0000-0000-000000000000}"/>
  <bookViews>
    <workbookView xWindow="33720" yWindow="-120" windowWidth="29040" windowHeight="15720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9" i="3" l="1"/>
  <c r="E53" i="3"/>
  <c r="H88" i="3"/>
  <c r="C88" i="3"/>
  <c r="C77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18" i="2"/>
  <c r="C12" i="2"/>
  <c r="C92" i="3"/>
  <c r="B93" i="3" s="1"/>
  <c r="F5" i="4"/>
  <c r="F6" i="4" s="1"/>
  <c r="C66" i="4"/>
  <c r="I11" i="3" s="1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C89" i="3"/>
  <c r="E88" i="3" l="1"/>
  <c r="H89" i="3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I19" i="2" l="1"/>
  <c r="J19" i="2"/>
  <c r="I20" i="2" s="1"/>
  <c r="J20" i="2"/>
  <c r="D19" i="2"/>
  <c r="D20" i="2" s="1"/>
  <c r="G19" i="2"/>
  <c r="G3" i="2"/>
  <c r="H19" i="2"/>
  <c r="F19" i="2"/>
  <c r="H80" i="3"/>
  <c r="H53" i="2"/>
  <c r="D77" i="3"/>
  <c r="D53" i="2"/>
  <c r="E24" i="2"/>
  <c r="D81" i="3"/>
  <c r="C76" i="3"/>
  <c r="C78" i="3" s="1"/>
  <c r="D82" i="3"/>
  <c r="D75" i="3"/>
  <c r="D80" i="3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35" i="2" s="1"/>
  <c r="C54" i="2" s="1"/>
  <c r="C47" i="3"/>
  <c r="C45" i="3"/>
  <c r="C27" i="3"/>
  <c r="C26" i="3"/>
  <c r="C44" i="3"/>
  <c r="C46" i="3"/>
  <c r="H55" i="2" l="1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F97" i="3"/>
  <c r="F100" i="3" l="1"/>
  <c r="F106" i="3" s="1"/>
  <c r="E100" i="3"/>
  <c r="E106" i="3" s="1"/>
  <c r="C29" i="1" s="1"/>
  <c r="D29" i="1"/>
  <c r="F29" i="1" l="1"/>
  <c r="C106" i="3"/>
</calcChain>
</file>

<file path=xl/sharedStrings.xml><?xml version="1.0" encoding="utf-8"?>
<sst xmlns="http://schemas.openxmlformats.org/spreadsheetml/2006/main" count="350" uniqueCount="248">
  <si>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</si>
  <si>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</si>
  <si>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</si>
  <si>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</si>
  <si>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</si>
  <si>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</si>
  <si>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</si>
  <si>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</si>
  <si>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</si>
  <si>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</si>
  <si>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</si>
  <si>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</si>
  <si>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</si>
  <si>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</si>
  <si>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</si>
  <si>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</si>
  <si>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</si>
  <si>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</si>
  <si>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</si>
  <si>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</si>
  <si>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</si>
  <si>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</si>
  <si>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</si>
  <si>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</si>
  <si>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</si>
  <si>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</si>
  <si>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</si>
  <si>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</si>
  <si>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</si>
  <si>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</si>
  <si>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</si>
  <si>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</si>
  <si>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</si>
  <si>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</si>
  <si>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</si>
  <si>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</si>
  <si>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</si>
  <si>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</si>
  <si>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</si>
  <si>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</si>
  <si>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</si>
  <si>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</si>
  <si>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</si>
  <si>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</si>
  <si>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</si>
  <si>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</si>
  <si>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</si>
  <si>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</si>
  <si>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</si>
  <si>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</si>
  <si>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</si>
  <si>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</si>
  <si>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</si>
  <si>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</si>
  <si>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</si>
  <si>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</si>
  <si>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</si>
  <si>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</si>
  <si>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</si>
  <si>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</si>
  <si>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</si>
  <si>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</si>
  <si>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</si>
  <si>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</si>
  <si>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</si>
  <si>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</si>
  <si>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</si>
  <si>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</si>
  <si>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</si>
  <si>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</si>
  <si>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</si>
  <si>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</si>
  <si>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</si>
  <si>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</si>
  <si>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</si>
  <si>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</si>
  <si>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</si>
  <si>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</si>
  <si>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</si>
  <si>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</si>
  <si>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</si>
  <si>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</si>
  <si>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</si>
  <si>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</si>
  <si>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</si>
  <si>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</si>
  <si>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</si>
  <si>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</si>
  <si>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</si>
  <si>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</si>
  <si>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</si>
  <si>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</si>
  <si>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</si>
  <si>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</si>
  <si>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</si>
  <si>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</si>
  <si>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</si>
  <si>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</si>
  <si>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</si>
  <si>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</si>
  <si>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</si>
  <si>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</si>
  <si>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</si>
  <si>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</si>
  <si>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</si>
  <si>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</si>
  <si>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</si>
  <si>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</si>
  <si>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</si>
  <si>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</si>
  <si>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</si>
  <si>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</si>
  <si>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</si>
  <si>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</si>
  <si>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</si>
  <si>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</si>
  <si>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</si>
  <si>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</si>
  <si>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</si>
  <si>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</si>
  <si>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</si>
  <si>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</si>
  <si>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</si>
  <si>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</si>
  <si>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</si>
  <si>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</si>
  <si>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</si>
  <si>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</si>
  <si>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</si>
  <si>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</si>
  <si>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</si>
  <si>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</si>
  <si>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</si>
  <si>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</si>
  <si>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</si>
  <si>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</si>
  <si>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</si>
  <si>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</si>
  <si>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</si>
  <si>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</si>
  <si>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</si>
  <si>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</si>
  <si>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</si>
  <si>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</si>
  <si>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</si>
  <si>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</si>
  <si>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</si>
  <si>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</si>
  <si>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</si>
  <si>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</si>
  <si>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</si>
  <si>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</si>
  <si>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</si>
  <si>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</si>
  <si>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</si>
  <si>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</si>
  <si>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</si>
  <si>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</si>
  <si>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</si>
  <si>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</si>
  <si>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</si>
  <si>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</si>
  <si>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</si>
  <si>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</si>
  <si>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</si>
  <si>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</si>
  <si>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</si>
  <si>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</si>
  <si>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</si>
  <si>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</si>
  <si>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</si>
  <si>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</si>
  <si>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</si>
  <si>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</si>
  <si>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</si>
  <si>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</si>
  <si>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</si>
  <si>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</si>
  <si>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</si>
  <si>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</si>
  <si>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</si>
  <si>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</si>
  <si>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</si>
  <si>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</si>
  <si>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</si>
  <si>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</si>
  <si>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</si>
  <si>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</si>
  <si>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</si>
  <si>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</si>
  <si>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</si>
  <si>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</si>
  <si>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</si>
  <si>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</si>
  <si>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</si>
  <si>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</si>
  <si>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</si>
  <si>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</si>
  <si>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</si>
  <si>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</si>
  <si>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</si>
  <si>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</si>
  <si>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</si>
  <si>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</si>
  <si>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</si>
  <si>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</si>
  <si>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</si>
  <si>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</si>
  <si>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</si>
  <si>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</si>
  <si>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</si>
  <si>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</si>
  <si>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</si>
  <si>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</si>
  <si>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</si>
  <si>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</si>
  <si>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</si>
  <si>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</si>
  <si>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</si>
  <si>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</si>
  <si>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</si>
  <si>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</si>
  <si>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</si>
  <si>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</si>
  <si>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</si>
  <si>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</si>
  <si>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</si>
  <si>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</si>
  <si>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Avg</t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</si>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</sst>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6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0" fontId="25" fillId="9" borderId="14" xfId="0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7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5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23" sqref="C23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1" t="str">
        <f>Inputs!C4</f>
        <v>0590.HK</v>
      </c>
      <c r="D3" s="242"/>
      <c r="E3" s="87"/>
      <c r="F3" s="3" t="s">
        <v>1</v>
      </c>
      <c r="G3" s="133">
        <v>15.100000381469727</v>
      </c>
      <c r="H3" s="135" t="s">
        <v>2</v>
      </c>
    </row>
    <row r="4" spans="1:10" ht="15.75" customHeight="1" x14ac:dyDescent="0.5">
      <c r="B4" s="35" t="s">
        <v>212</v>
      </c>
      <c r="C4" s="243" t="str">
        <f>Inputs!C5</f>
        <v>六福珠宝</v>
      </c>
      <c r="D4" s="244"/>
      <c r="E4" s="87"/>
      <c r="F4" s="3" t="s">
        <v>3</v>
      </c>
      <c r="G4" s="247">
        <f>Inputs!C10</f>
        <v>587107850</v>
      </c>
      <c r="H4" s="247"/>
      <c r="I4" s="39"/>
    </row>
    <row r="5" spans="1:10" ht="15.75" customHeight="1" x14ac:dyDescent="0.4">
      <c r="B5" s="3" t="s">
        <v>175</v>
      </c>
      <c r="C5" s="245">
        <f>Inputs!C6</f>
        <v>45593</v>
      </c>
      <c r="D5" s="246"/>
      <c r="E5" s="34"/>
      <c r="F5" s="35" t="s">
        <v>102</v>
      </c>
      <c r="G5" s="239">
        <f>G3*G4/1000000</f>
        <v>8865.3287589638712</v>
      </c>
      <c r="H5" s="239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40" t="str">
        <f>Inputs!C11</f>
        <v>HKD</v>
      </c>
      <c r="H6" s="240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C0003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237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0.72762956087193742</v>
      </c>
      <c r="F20" s="87" t="s">
        <v>236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0.12012374818624762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3.8885650375487034E-3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0.03</v>
      </c>
      <c r="F23" s="141" t="s">
        <v>204</v>
      </c>
      <c r="G23" s="183">
        <f>G3/(Data!C36*Data!C4/Common_Shares*Exchange_Rate)</f>
        <v>0.68916348364732616</v>
      </c>
    </row>
    <row r="24" spans="1:8" ht="15.75" customHeight="1" x14ac:dyDescent="0.4">
      <c r="B24" s="138" t="s">
        <v>185</v>
      </c>
      <c r="C24" s="177">
        <f>Fin_Analysis!I81</f>
        <v>4.0883763120383568E-2</v>
      </c>
      <c r="F24" s="141" t="s">
        <v>189</v>
      </c>
      <c r="G24" s="184">
        <f>(Fin_Analysis!H86*G7)/G3</f>
        <v>0.10045051675038838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0.8966227930318843</v>
      </c>
    </row>
    <row r="26" spans="1:8" ht="15.75" customHeight="1" x14ac:dyDescent="0.4">
      <c r="B26" s="139" t="s">
        <v>187</v>
      </c>
      <c r="C26" s="177">
        <f>Fin_Analysis!I83</f>
        <v>7.7474362783882672E-2</v>
      </c>
      <c r="F26" s="142" t="s">
        <v>210</v>
      </c>
      <c r="G26" s="184">
        <f>Fin_Analysis!H88*Exchange_Rate/G3</f>
        <v>9.0066222890229308E-2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7" t="str">
        <f>Fin_Analysis!H96</f>
        <v>Base Case</v>
      </c>
      <c r="H28" s="237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12.278692597283481</v>
      </c>
      <c r="D29" s="130">
        <f>IF(Fin_Analysis!C108="Profit",Fin_Analysis!I100,IF(Fin_Analysis!C108="Dividend",Fin_Analysis!I103,Fin_Analysis!I106))</f>
        <v>29.065773522367007</v>
      </c>
      <c r="E29" s="87"/>
      <c r="F29" s="132">
        <f>IF(Fin_Analysis!C108="Profit",Fin_Analysis!F100,IF(Fin_Analysis!C108="Dividend",Fin_Analysis!F103,Fin_Analysis!F106))</f>
        <v>17.73492134895082</v>
      </c>
      <c r="G29" s="238">
        <f>IF(Fin_Analysis!C108="Profit",Fin_Analysis!H100,IF(Fin_Analysis!C108="Dividend",Fin_Analysis!H103,Fin_Analysis!H106))</f>
        <v>23.252618817893605</v>
      </c>
      <c r="H29" s="238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6" sqref="C16"/>
    </sheetView>
  </sheetViews>
  <sheetFormatPr defaultRowHeight="12.75" x14ac:dyDescent="0.35"/>
  <cols>
    <col min="1" max="1" width="3.06640625" customWidth="1"/>
    <col min="2" max="2" width="27.265625" customWidth="1"/>
    <col min="3" max="13" width="24.6640625" customWidth="1"/>
  </cols>
  <sheetData>
    <row r="2" spans="1:6" ht="15" x14ac:dyDescent="0.4">
      <c r="A2" s="5"/>
      <c r="B2" s="6" t="s">
        <v>240</v>
      </c>
    </row>
    <row r="4" spans="1:6" ht="13.9" x14ac:dyDescent="0.4">
      <c r="B4" s="142" t="s">
        <v>211</v>
      </c>
      <c r="C4" s="195" t="s">
        <v>215</v>
      </c>
      <c r="F4" s="202" t="s">
        <v>231</v>
      </c>
    </row>
    <row r="5" spans="1:6" ht="15" x14ac:dyDescent="0.5">
      <c r="B5" s="142" t="s">
        <v>212</v>
      </c>
      <c r="C5" s="196" t="s">
        <v>214</v>
      </c>
      <c r="E5" s="232">
        <f>C18</f>
        <v>45381</v>
      </c>
      <c r="F5" s="233">
        <f>0.72+0.64</f>
        <v>1.3599999999999999</v>
      </c>
    </row>
    <row r="6" spans="1:6" ht="13.9" x14ac:dyDescent="0.4">
      <c r="B6" s="142" t="s">
        <v>175</v>
      </c>
      <c r="C6" s="197">
        <v>45593</v>
      </c>
      <c r="E6" s="234" t="s">
        <v>229</v>
      </c>
      <c r="F6" s="233">
        <f>F5</f>
        <v>1.3599999999999999</v>
      </c>
    </row>
    <row r="7" spans="1:6" ht="13.9" x14ac:dyDescent="0.4">
      <c r="B7" s="141" t="s">
        <v>4</v>
      </c>
      <c r="C7" s="198">
        <v>8</v>
      </c>
    </row>
    <row r="8" spans="1:6" ht="13.9" x14ac:dyDescent="0.4">
      <c r="B8" s="141" t="s">
        <v>241</v>
      </c>
      <c r="C8" s="199" t="s">
        <v>46</v>
      </c>
    </row>
    <row r="9" spans="1:6" ht="13.9" x14ac:dyDescent="0.4">
      <c r="B9" s="141" t="s">
        <v>242</v>
      </c>
      <c r="C9" s="200" t="s">
        <v>216</v>
      </c>
    </row>
    <row r="10" spans="1:6" ht="13.9" x14ac:dyDescent="0.4">
      <c r="B10" s="141" t="s">
        <v>243</v>
      </c>
      <c r="C10" s="201">
        <v>587107850</v>
      </c>
    </row>
    <row r="11" spans="1:6" ht="13.9" x14ac:dyDescent="0.4">
      <c r="B11" s="141" t="s">
        <v>244</v>
      </c>
      <c r="C11" s="200" t="s">
        <v>2</v>
      </c>
    </row>
    <row r="12" spans="1:6" ht="13.9" x14ac:dyDescent="0.4">
      <c r="B12" s="228" t="s">
        <v>10</v>
      </c>
      <c r="C12" s="229">
        <v>45381</v>
      </c>
    </row>
    <row r="13" spans="1:6" ht="13.9" x14ac:dyDescent="0.4">
      <c r="B13" s="228" t="s">
        <v>11</v>
      </c>
      <c r="C13" s="230">
        <v>1000</v>
      </c>
    </row>
    <row r="14" spans="1:6" ht="13.9" x14ac:dyDescent="0.4">
      <c r="B14" s="228" t="s">
        <v>246</v>
      </c>
      <c r="C14" s="229">
        <v>45381</v>
      </c>
    </row>
    <row r="15" spans="1:6" ht="13.9" x14ac:dyDescent="0.4">
      <c r="B15" s="228" t="s">
        <v>245</v>
      </c>
      <c r="C15" s="182" t="s">
        <v>205</v>
      </c>
    </row>
    <row r="16" spans="1:6" ht="13.9" x14ac:dyDescent="0.4">
      <c r="B16" s="235" t="s">
        <v>98</v>
      </c>
      <c r="C16" s="236">
        <v>0.25</v>
      </c>
    </row>
    <row r="18" spans="2:13" ht="13.9" x14ac:dyDescent="0.4">
      <c r="B18" s="116" t="s">
        <v>144</v>
      </c>
      <c r="C18" s="48">
        <f>C12</f>
        <v>45381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3.9" x14ac:dyDescent="0.4">
      <c r="B19" s="94" t="s">
        <v>12</v>
      </c>
      <c r="C19" s="152">
        <v>15325962</v>
      </c>
      <c r="D19" s="152">
        <v>11977844</v>
      </c>
      <c r="E19" s="152">
        <v>11737803</v>
      </c>
      <c r="F19" s="152">
        <v>8861335</v>
      </c>
      <c r="G19" s="152">
        <v>11233771</v>
      </c>
      <c r="H19" s="152">
        <v>15859990</v>
      </c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11151623</v>
      </c>
      <c r="D20" s="153">
        <v>8747447</v>
      </c>
      <c r="E20" s="153">
        <v>8503976</v>
      </c>
      <c r="F20" s="153">
        <v>6229020</v>
      </c>
      <c r="G20" s="153">
        <v>7910751</v>
      </c>
      <c r="H20" s="153">
        <v>11826154</v>
      </c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2297566</v>
      </c>
      <c r="D21" s="153">
        <v>1867515</v>
      </c>
      <c r="E21" s="153">
        <v>1815111</v>
      </c>
      <c r="F21" s="153">
        <v>1694480</v>
      </c>
      <c r="G21" s="153">
        <v>2118252</v>
      </c>
      <c r="H21" s="153">
        <v>2416769</v>
      </c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456554</v>
      </c>
      <c r="D22" s="153">
        <v>373191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676387</v>
      </c>
      <c r="D24" s="153">
        <v>107280</v>
      </c>
      <c r="E24" s="153">
        <v>455483</v>
      </c>
      <c r="F24" s="153">
        <v>138937</v>
      </c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626583</v>
      </c>
      <c r="D25" s="153">
        <v>352099</v>
      </c>
      <c r="E25" s="153">
        <v>1045251</v>
      </c>
      <c r="F25" s="153">
        <v>-818677</v>
      </c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59596</v>
      </c>
      <c r="D26" s="153">
        <v>20763</v>
      </c>
      <c r="E26" s="153">
        <v>23097</v>
      </c>
      <c r="F26" s="153">
        <v>28849</v>
      </c>
      <c r="G26" s="153">
        <v>63075</v>
      </c>
      <c r="H26" s="153">
        <v>34253</v>
      </c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-9467</v>
      </c>
      <c r="D27" s="153">
        <v>-30</v>
      </c>
      <c r="E27" s="153">
        <v>-27</v>
      </c>
      <c r="F27" s="153">
        <v>1799</v>
      </c>
      <c r="G27" s="153">
        <v>1337</v>
      </c>
      <c r="H27" s="153">
        <v>10908</v>
      </c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7"/>
      <c r="D28" s="153">
        <v>11972903</v>
      </c>
      <c r="E28" s="153">
        <v>13002006</v>
      </c>
      <c r="F28" s="153">
        <v>11732726</v>
      </c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7"/>
      <c r="D29" s="153">
        <v>213823</v>
      </c>
      <c r="E29" s="153">
        <v>187711</v>
      </c>
      <c r="F29" s="153">
        <v>277338</v>
      </c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7"/>
      <c r="D30" s="153">
        <v>8852611</v>
      </c>
      <c r="E30" s="153">
        <v>8769304</v>
      </c>
      <c r="F30" s="153">
        <v>7321614</v>
      </c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7"/>
      <c r="D31" s="153">
        <v>2466431</v>
      </c>
      <c r="E31" s="153">
        <v>3908586</v>
      </c>
      <c r="F31" s="153">
        <v>2946772</v>
      </c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7"/>
      <c r="D32" s="153">
        <v>241133</v>
      </c>
      <c r="E32" s="153">
        <v>233155</v>
      </c>
      <c r="F32" s="153">
        <v>241043</v>
      </c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7"/>
      <c r="D33" s="153">
        <v>35175</v>
      </c>
      <c r="E33" s="153">
        <v>1587989</v>
      </c>
      <c r="F33" s="153">
        <v>1050082</v>
      </c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7"/>
      <c r="D34" s="153">
        <v>67759</v>
      </c>
      <c r="E34" s="153">
        <v>153013</v>
      </c>
      <c r="F34" s="153">
        <v>81854</v>
      </c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7"/>
      <c r="D35" s="153">
        <v>12220942</v>
      </c>
      <c r="E35" s="153">
        <v>12078528</v>
      </c>
      <c r="F35" s="153">
        <v>11324224</v>
      </c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7"/>
      <c r="D36" s="153">
        <v>-498</v>
      </c>
      <c r="E36" s="153">
        <v>468</v>
      </c>
      <c r="F36" s="153">
        <v>411</v>
      </c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7"/>
      <c r="D37" s="153">
        <v>3475378</v>
      </c>
      <c r="E37" s="153">
        <v>4499643</v>
      </c>
      <c r="F37" s="153">
        <v>4455433</v>
      </c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4" t="s">
        <v>33</v>
      </c>
      <c r="C39" s="202" t="s">
        <v>34</v>
      </c>
      <c r="D39" s="202" t="s">
        <v>213</v>
      </c>
    </row>
    <row r="40" spans="2:13" ht="13.9" x14ac:dyDescent="0.4">
      <c r="B40" s="3" t="s">
        <v>38</v>
      </c>
      <c r="C40" s="59">
        <v>1998219</v>
      </c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>
        <v>265773</v>
      </c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>
        <v>366595</v>
      </c>
      <c r="D46" s="60">
        <v>0.1</v>
      </c>
    </row>
    <row r="47" spans="2:13" ht="13.9" x14ac:dyDescent="0.4">
      <c r="B47" s="3" t="s">
        <v>47</v>
      </c>
      <c r="C47" s="59">
        <v>9672256</v>
      </c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>
        <v>29465</v>
      </c>
      <c r="D50" s="60">
        <v>0.95</v>
      </c>
    </row>
    <row r="51" spans="2:4" ht="13.9" x14ac:dyDescent="0.4">
      <c r="B51" s="35" t="s">
        <v>51</v>
      </c>
      <c r="C51" s="121"/>
      <c r="D51" s="203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>
        <v>103050</v>
      </c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>
        <v>925726</v>
      </c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>
        <v>2522337</v>
      </c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>
        <v>538321</v>
      </c>
      <c r="D62" s="60">
        <v>0.05</v>
      </c>
    </row>
    <row r="63" spans="2:4" ht="13.9" x14ac:dyDescent="0.4">
      <c r="B63" s="3" t="s">
        <v>75</v>
      </c>
      <c r="C63" s="59">
        <v>154648</v>
      </c>
      <c r="D63" s="60">
        <v>0.95</v>
      </c>
    </row>
    <row r="64" spans="2:4" ht="13.9" x14ac:dyDescent="0.4">
      <c r="B64" s="3" t="s">
        <v>76</v>
      </c>
      <c r="C64" s="59">
        <v>277674</v>
      </c>
      <c r="D64" s="60">
        <v>0</v>
      </c>
    </row>
    <row r="65" spans="2:3" ht="13.5" x14ac:dyDescent="0.35">
      <c r="B65" s="204" t="s">
        <v>37</v>
      </c>
      <c r="C65" s="202" t="s">
        <v>34</v>
      </c>
    </row>
    <row r="66" spans="2:3" ht="13.9" x14ac:dyDescent="0.4">
      <c r="B66" s="3" t="s">
        <v>39</v>
      </c>
      <c r="C66" s="59">
        <f>362000+1065805</f>
        <v>1427805</v>
      </c>
    </row>
    <row r="67" spans="2:3" ht="13.9" x14ac:dyDescent="0.4">
      <c r="B67" s="3" t="s">
        <v>40</v>
      </c>
      <c r="C67" s="59">
        <v>287697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3516809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319420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473357</v>
      </c>
    </row>
    <row r="76" spans="2:3" ht="14.25" thickTop="1" x14ac:dyDescent="0.4">
      <c r="B76" s="73" t="s">
        <v>247</v>
      </c>
      <c r="C76" s="59">
        <v>12890860</v>
      </c>
    </row>
    <row r="77" spans="2:3" ht="13.9" x14ac:dyDescent="0.4">
      <c r="B77" s="20" t="s">
        <v>91</v>
      </c>
      <c r="C77" s="59">
        <v>0</v>
      </c>
    </row>
    <row r="78" spans="2:3" ht="13.9" x14ac:dyDescent="0.4">
      <c r="B78" s="20" t="s">
        <v>93</v>
      </c>
      <c r="C78" s="59">
        <v>0</v>
      </c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221</v>
      </c>
      <c r="F2" s="120" t="s">
        <v>224</v>
      </c>
      <c r="G2" s="151" t="s">
        <v>225</v>
      </c>
      <c r="H2" s="150" t="s">
        <v>226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1">
        <f>Inputs!C12</f>
        <v>45381</v>
      </c>
      <c r="E3" s="149" t="s">
        <v>222</v>
      </c>
      <c r="F3" s="85">
        <f>H19</f>
        <v>1568270</v>
      </c>
      <c r="G3" s="85">
        <f>C19</f>
        <v>1817177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223</v>
      </c>
      <c r="F4" s="93">
        <f>(G3/F3)^(1/H3)-1</f>
        <v>2.4855727987756815E-2</v>
      </c>
      <c r="J4" s="87"/>
    </row>
    <row r="5" spans="1:14" ht="15.75" customHeight="1" x14ac:dyDescent="0.4">
      <c r="A5" s="16"/>
      <c r="B5" s="116" t="s">
        <v>144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10">
        <f>IF(Inputs!C19=""," ",Inputs!C19)</f>
        <v>15325962</v>
      </c>
      <c r="D6" s="210">
        <f>IF(Inputs!D19="","",Inputs!D19)</f>
        <v>11977844</v>
      </c>
      <c r="E6" s="210">
        <f>IF(Inputs!E19="","",Inputs!E19)</f>
        <v>11737803</v>
      </c>
      <c r="F6" s="210">
        <f>IF(Inputs!F19="","",Inputs!F19)</f>
        <v>8861335</v>
      </c>
      <c r="G6" s="210">
        <f>IF(Inputs!G19="","",Inputs!G19)</f>
        <v>11233771</v>
      </c>
      <c r="H6" s="210">
        <f>IF(Inputs!H19="","",Inputs!H19)</f>
        <v>15859990</v>
      </c>
      <c r="I6" s="210" t="str">
        <f>IF(Inputs!I19="","",Inputs!I19)</f>
        <v/>
      </c>
      <c r="J6" s="210" t="str">
        <f>IF(Inputs!J19="","",Inputs!J19)</f>
        <v/>
      </c>
      <c r="K6" s="210" t="str">
        <f>IF(Inputs!K19="","",Inputs!K19)</f>
        <v/>
      </c>
      <c r="L6" s="210" t="str">
        <f>IF(Inputs!L19="","",Inputs!L19)</f>
        <v/>
      </c>
      <c r="M6" s="210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9">
        <f>IF(Inputs!C20="","",Inputs!C20)</f>
        <v>11151623</v>
      </c>
      <c r="D8" s="209">
        <f>IF(Inputs!D20="","",Inputs!D20)</f>
        <v>8747447</v>
      </c>
      <c r="E8" s="209">
        <f>IF(Inputs!E20="","",Inputs!E20)</f>
        <v>8503976</v>
      </c>
      <c r="F8" s="209">
        <f>IF(Inputs!F20="","",Inputs!F20)</f>
        <v>6229020</v>
      </c>
      <c r="G8" s="209">
        <f>IF(Inputs!G20="","",Inputs!G20)</f>
        <v>7910751</v>
      </c>
      <c r="H8" s="209">
        <f>IF(Inputs!H20="","",Inputs!H20)</f>
        <v>11826154</v>
      </c>
      <c r="I8" s="209" t="str">
        <f>IF(Inputs!I20="","",Inputs!I20)</f>
        <v/>
      </c>
      <c r="J8" s="209" t="str">
        <f>IF(Inputs!J20="","",Inputs!J20)</f>
        <v/>
      </c>
      <c r="K8" s="209" t="str">
        <f>IF(Inputs!K20="","",Inputs!K20)</f>
        <v/>
      </c>
      <c r="L8" s="209" t="str">
        <f>IF(Inputs!L20="","",Inputs!L20)</f>
        <v/>
      </c>
      <c r="M8" s="209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4174339</v>
      </c>
      <c r="D9" s="154">
        <f t="shared" si="2"/>
        <v>3230397</v>
      </c>
      <c r="E9" s="154">
        <f t="shared" si="2"/>
        <v>3233827</v>
      </c>
      <c r="F9" s="154">
        <f t="shared" si="2"/>
        <v>2632315</v>
      </c>
      <c r="G9" s="154">
        <f t="shared" si="2"/>
        <v>3323020</v>
      </c>
      <c r="H9" s="154">
        <f t="shared" si="2"/>
        <v>4033836</v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9">
        <f>IF(Inputs!C21="","",Inputs!C21)</f>
        <v>2297566</v>
      </c>
      <c r="D10" s="209">
        <f>IF(Inputs!D21="","",Inputs!D21)</f>
        <v>1867515</v>
      </c>
      <c r="E10" s="209">
        <f>IF(Inputs!E21="","",Inputs!E21)</f>
        <v>1815111</v>
      </c>
      <c r="F10" s="209">
        <f>IF(Inputs!F21="","",Inputs!F21)</f>
        <v>1694480</v>
      </c>
      <c r="G10" s="209">
        <f>IF(Inputs!G21="","",Inputs!G21)</f>
        <v>2118252</v>
      </c>
      <c r="H10" s="209">
        <f>IF(Inputs!H21="","",Inputs!H21)</f>
        <v>2416769</v>
      </c>
      <c r="I10" s="209" t="str">
        <f>IF(Inputs!I21="","",Inputs!I21)</f>
        <v/>
      </c>
      <c r="J10" s="209" t="str">
        <f>IF(Inputs!J21="","",Inputs!J21)</f>
        <v/>
      </c>
      <c r="K10" s="209" t="str">
        <f>IF(Inputs!K21="","",Inputs!K21)</f>
        <v/>
      </c>
      <c r="L10" s="209" t="str">
        <f>IF(Inputs!L21="","",Inputs!L21)</f>
        <v/>
      </c>
      <c r="M10" s="209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2.9789581887257714E-2</v>
      </c>
      <c r="D11" s="155">
        <f t="shared" ref="D11:M11" si="3">IF(OR(D6="",D12=""),"",D12/D6)</f>
        <v>3.1156775793707115E-2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9">
        <f>IF(Inputs!C22="","",Inputs!C22)</f>
        <v>456554</v>
      </c>
      <c r="D12" s="209">
        <f>IF(Inputs!D22="","",Inputs!D22)</f>
        <v>373191</v>
      </c>
      <c r="E12" s="209" t="str">
        <f>IF(Inputs!E22="","",Inputs!E22)</f>
        <v/>
      </c>
      <c r="F12" s="209" t="str">
        <f>IF(Inputs!F22="","",Inputs!F22)</f>
        <v/>
      </c>
      <c r="G12" s="209" t="str">
        <f>IF(Inputs!G22="","",Inputs!G22)</f>
        <v/>
      </c>
      <c r="H12" s="209" t="str">
        <f>IF(Inputs!H22="","",Inputs!H22)</f>
        <v/>
      </c>
      <c r="I12" s="209" t="str">
        <f>IF(Inputs!I22="","",Inputs!I22)</f>
        <v/>
      </c>
      <c r="J12" s="209" t="str">
        <f>IF(Inputs!J22="","",Inputs!J22)</f>
        <v/>
      </c>
      <c r="K12" s="209" t="str">
        <f>IF(Inputs!K22="","",Inputs!K22)</f>
        <v/>
      </c>
      <c r="L12" s="209" t="str">
        <f>IF(Inputs!L22="","",Inputs!L22)</f>
        <v/>
      </c>
      <c r="M12" s="209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2333327</v>
      </c>
      <c r="D13" s="154">
        <f t="shared" ref="D13:M13" si="4">IF(D6="","",(D9-D10+MAX(D12,0)))</f>
        <v>1736073</v>
      </c>
      <c r="E13" s="154">
        <f t="shared" si="4"/>
        <v>1418716</v>
      </c>
      <c r="F13" s="154">
        <f t="shared" si="4"/>
        <v>937835</v>
      </c>
      <c r="G13" s="154">
        <f t="shared" si="4"/>
        <v>1204768</v>
      </c>
      <c r="H13" s="154">
        <f t="shared" si="4"/>
        <v>1617067</v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9" t="str">
        <f>IF(Inputs!C23="","",Inputs!C23)</f>
        <v/>
      </c>
      <c r="D14" s="209" t="str">
        <f>IF(Inputs!D23="","",Inputs!D23)</f>
        <v/>
      </c>
      <c r="E14" s="209" t="str">
        <f>IF(Inputs!E23="","",Inputs!E23)</f>
        <v/>
      </c>
      <c r="F14" s="209" t="str">
        <f>IF(Inputs!F23="","",Inputs!F23)</f>
        <v/>
      </c>
      <c r="G14" s="209" t="str">
        <f>IF(Inputs!G23="","",Inputs!G23)</f>
        <v/>
      </c>
      <c r="H14" s="209" t="str">
        <f>IF(Inputs!H23="","",Inputs!H23)</f>
        <v/>
      </c>
      <c r="I14" s="209" t="str">
        <f>IF(Inputs!I23="","",Inputs!I23)</f>
        <v/>
      </c>
      <c r="J14" s="209" t="str">
        <f>IF(Inputs!J23="","",Inputs!J23)</f>
        <v/>
      </c>
      <c r="K14" s="209" t="str">
        <f>IF(Inputs!K23="","",Inputs!K23)</f>
        <v/>
      </c>
      <c r="L14" s="209" t="str">
        <f>IF(Inputs!L23="","",Inputs!L23)</f>
        <v/>
      </c>
      <c r="M14" s="209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9">
        <f>IF(Inputs!C24="","",Inputs!C24)</f>
        <v>676387</v>
      </c>
      <c r="D15" s="209">
        <f>IF(Inputs!D24="","",Inputs!D24)</f>
        <v>107280</v>
      </c>
      <c r="E15" s="209">
        <f>IF(Inputs!E24="","",Inputs!E24)</f>
        <v>455483</v>
      </c>
      <c r="F15" s="209">
        <f>IF(Inputs!F24="","",Inputs!F24)</f>
        <v>138937</v>
      </c>
      <c r="G15" s="209" t="str">
        <f>IF(Inputs!G24="","",Inputs!G24)</f>
        <v/>
      </c>
      <c r="H15" s="209" t="str">
        <f>IF(Inputs!H24="","",Inputs!H24)</f>
        <v/>
      </c>
      <c r="I15" s="209" t="str">
        <f>IF(Inputs!I24="","",Inputs!I24)</f>
        <v/>
      </c>
      <c r="J15" s="209" t="str">
        <f>IF(Inputs!J24="","",Inputs!J24)</f>
        <v/>
      </c>
      <c r="K15" s="209" t="str">
        <f>IF(Inputs!K24="","",Inputs!K24)</f>
        <v/>
      </c>
      <c r="L15" s="209" t="str">
        <f>IF(Inputs!L24="","",Inputs!L24)</f>
        <v/>
      </c>
      <c r="M15" s="209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9">
        <f>IF(Inputs!C25="","",Inputs!C25)</f>
        <v>626583</v>
      </c>
      <c r="D16" s="209">
        <f>IF(Inputs!D25="","",Inputs!D25)</f>
        <v>352099</v>
      </c>
      <c r="E16" s="209">
        <f>IF(Inputs!E25="","",Inputs!E25)</f>
        <v>1045251</v>
      </c>
      <c r="F16" s="209">
        <f>IF(Inputs!F25="","",Inputs!F25)</f>
        <v>-818677</v>
      </c>
      <c r="G16" s="209" t="str">
        <f>IF(Inputs!G25="","",Inputs!G25)</f>
        <v/>
      </c>
      <c r="H16" s="209" t="str">
        <f>IF(Inputs!H25="","",Inputs!H25)</f>
        <v/>
      </c>
      <c r="I16" s="209" t="str">
        <f>IF(Inputs!I25="","",Inputs!I25)</f>
        <v/>
      </c>
      <c r="J16" s="209" t="str">
        <f>IF(Inputs!J25="","",Inputs!J25)</f>
        <v/>
      </c>
      <c r="K16" s="209" t="str">
        <f>IF(Inputs!K25="","",Inputs!K25)</f>
        <v/>
      </c>
      <c r="L16" s="209" t="str">
        <f>IF(Inputs!L25="","",Inputs!L25)</f>
        <v/>
      </c>
      <c r="M16" s="209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9">
        <f>IF(Inputs!C26="","",Inputs!C26)</f>
        <v>59596</v>
      </c>
      <c r="D17" s="209">
        <f>IF(Inputs!D26="","",Inputs!D26)</f>
        <v>20763</v>
      </c>
      <c r="E17" s="209">
        <f>IF(Inputs!E26="","",Inputs!E26)</f>
        <v>23097</v>
      </c>
      <c r="F17" s="209">
        <f>IF(Inputs!F26="","",Inputs!F26)</f>
        <v>28849</v>
      </c>
      <c r="G17" s="209">
        <f>IF(Inputs!G26="","",Inputs!G26)</f>
        <v>63075</v>
      </c>
      <c r="H17" s="209">
        <f>IF(Inputs!H26="","",Inputs!H26)</f>
        <v>34253</v>
      </c>
      <c r="I17" s="209" t="str">
        <f>IF(Inputs!I26="","",Inputs!I26)</f>
        <v/>
      </c>
      <c r="J17" s="209" t="str">
        <f>IF(Inputs!J26="","",Inputs!J26)</f>
        <v/>
      </c>
      <c r="K17" s="209" t="str">
        <f>IF(Inputs!K26="","",Inputs!K26)</f>
        <v/>
      </c>
      <c r="L17" s="209" t="str">
        <f>IF(Inputs!L26="","",Inputs!L26)</f>
        <v/>
      </c>
      <c r="M17" s="209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9">
        <f>IF(Inputs!C27="","",Inputs!C27)</f>
        <v>-9467</v>
      </c>
      <c r="D18" s="209">
        <f>IF(Inputs!D27="","",Inputs!D27)</f>
        <v>-30</v>
      </c>
      <c r="E18" s="209">
        <f>IF(Inputs!E27="","",Inputs!E27)</f>
        <v>-27</v>
      </c>
      <c r="F18" s="209">
        <f>IF(Inputs!F27="","",Inputs!F27)</f>
        <v>1799</v>
      </c>
      <c r="G18" s="209">
        <f>IF(Inputs!G27="","",Inputs!G27)</f>
        <v>1337</v>
      </c>
      <c r="H18" s="209">
        <f>IF(Inputs!H27="","",Inputs!H27)</f>
        <v>10908</v>
      </c>
      <c r="I18" s="209" t="str">
        <f>IF(Inputs!I27="","",Inputs!I27)</f>
        <v/>
      </c>
      <c r="J18" s="209" t="str">
        <f>IF(Inputs!J27="","",Inputs!J27)</f>
        <v/>
      </c>
      <c r="K18" s="209" t="str">
        <f>IF(Inputs!K27="","",Inputs!K27)</f>
        <v/>
      </c>
      <c r="L18" s="209" t="str">
        <f>IF(Inputs!L27="","",Inputs!L27)</f>
        <v/>
      </c>
      <c r="M18" s="209" t="str">
        <f>IF(Inputs!M27="","",Inputs!M27)</f>
        <v/>
      </c>
      <c r="N18" s="87"/>
    </row>
    <row r="19" spans="1:14" ht="15.75" customHeight="1" x14ac:dyDescent="0.4">
      <c r="A19" s="4"/>
      <c r="B19" s="99" t="s">
        <v>219</v>
      </c>
      <c r="C19" s="77">
        <f>IF(C6="","",C9-C10-C17-MAX(C18/(1-Fin_Analysis!$I$84),0))</f>
        <v>1817177</v>
      </c>
      <c r="D19" s="77">
        <f>IF(D6="","",D9-D10-D17-MAX(D18/(1-Fin_Analysis!$I$84),0))</f>
        <v>1342119</v>
      </c>
      <c r="E19" s="77">
        <f>IF(E6="","",E9-E10-E17-MAX(E18/(1-Fin_Analysis!$I$84),0))</f>
        <v>1395619</v>
      </c>
      <c r="F19" s="77">
        <f>IF(F6="","",F9-F10-F17-MAX(F18/(1-Fin_Analysis!$I$84),0))</f>
        <v>906587.33333333337</v>
      </c>
      <c r="G19" s="77">
        <f>IF(G6="","",G9-G10-G17-MAX(G18/(1-Fin_Analysis!$I$84),0))</f>
        <v>1139910.3333333333</v>
      </c>
      <c r="H19" s="77">
        <f>IF(H6="","",H9-H10-H17-MAX(H18/(1-Fin_Analysis!$I$84),0))</f>
        <v>1568270</v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220</v>
      </c>
      <c r="C20" s="156">
        <f>IF(D19="","",IF(ABS(C19+D19)=ABS(C19)+ABS(D19),IF(C19&lt;0,-1,1)*(C19-D19)/D19,"Turn"))</f>
        <v>0.35396116141713219</v>
      </c>
      <c r="D20" s="156">
        <f t="shared" ref="D20:M20" si="5">IF(E19="","",IF(ABS(D19+E19)=ABS(D19)+ABS(E19),IF(D19&lt;0,-1,1)*(D19-E19)/E19,"Turn"))</f>
        <v>-3.8334244518023905E-2</v>
      </c>
      <c r="E20" s="156">
        <f t="shared" si="5"/>
        <v>0.53942036104629731</v>
      </c>
      <c r="F20" s="156">
        <f t="shared" si="5"/>
        <v>-0.20468539776959055</v>
      </c>
      <c r="G20" s="156">
        <f t="shared" si="5"/>
        <v>-0.27314152962606358</v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IF(C6="","",C13-MAX(C14,0)-MAX(C15,0)-MAX(C16,0)-C17-MAX(C18/(1-Fin_Analysis!$I$84),0))</f>
        <v>970761</v>
      </c>
      <c r="D21" s="77">
        <f>IF(D6="","",D13-MAX(D14,0)-MAX(D15,0)-MAX(D16,0)-D17-MAX(D18/(1-Fin_Analysis!$I$84),0))</f>
        <v>1255931</v>
      </c>
      <c r="E21" s="77">
        <f>IF(E6="","",E13-MAX(E14,0)-MAX(E15,0)-MAX(E16,0)-E17-MAX(E18/(1-Fin_Analysis!$I$84),0))</f>
        <v>-105115</v>
      </c>
      <c r="F21" s="77">
        <f>IF(F6="","",F13-MAX(F14,0)-MAX(F15,0)-MAX(F16,0)-F17-MAX(F18/(1-Fin_Analysis!$I$84),0))</f>
        <v>767650.33333333337</v>
      </c>
      <c r="G21" s="77">
        <f>IF(G6="","",G13-MAX(G14,0)-MAX(G15,0)-MAX(G16,0)-G17-MAX(G18/(1-Fin_Analysis!$I$84),0))</f>
        <v>1139910.3333333333</v>
      </c>
      <c r="H21" s="77">
        <f>IF(H6="","",H13-MAX(H14,0)-MAX(H15,0)-MAX(H16,0)-H17-MAX(H18/(1-Fin_Analysis!$I$84),0))</f>
        <v>1568270</v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-0.22705865210748041</v>
      </c>
      <c r="D22" s="156" t="str">
        <f t="shared" ref="D22:M22" si="6">IF(E21="","",IF(ABS(D21+E21)=ABS(D21)+ABS(E21),IF(D21&lt;0,-1,1)*(D21-E21)/E21,"Turn"))</f>
        <v>Turn</v>
      </c>
      <c r="E22" s="156" t="str">
        <f t="shared" si="6"/>
        <v>Turn</v>
      </c>
      <c r="F22" s="156">
        <f t="shared" si="6"/>
        <v>-0.32656954596721194</v>
      </c>
      <c r="G22" s="156">
        <f t="shared" si="6"/>
        <v>-0.27314152962606358</v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4.7505712855088637E-2</v>
      </c>
      <c r="D23" s="157">
        <f t="shared" si="7"/>
        <v>7.8640884786944962E-2</v>
      </c>
      <c r="E23" s="157">
        <f t="shared" si="7"/>
        <v>-6.7164400356693665E-3</v>
      </c>
      <c r="F23" s="157">
        <f t="shared" si="7"/>
        <v>6.4971897575252485E-2</v>
      </c>
      <c r="G23" s="157">
        <f t="shared" si="7"/>
        <v>7.6103807884280353E-2</v>
      </c>
      <c r="H23" s="157">
        <f t="shared" si="7"/>
        <v>7.4161616747551548E-2</v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728070.75</v>
      </c>
      <c r="D24" s="77">
        <f>IF(D6="","",D21*(1-Fin_Analysis!$I$84))</f>
        <v>941948.25</v>
      </c>
      <c r="E24" s="77">
        <f>IF(E6="","",E21*(1-Fin_Analysis!$I$84))</f>
        <v>-78836.25</v>
      </c>
      <c r="F24" s="77">
        <f>IF(F6="","",F21*(1-Fin_Analysis!$I$84))</f>
        <v>575737.75</v>
      </c>
      <c r="G24" s="77">
        <f>IF(G6="","",G21*(1-Fin_Analysis!$I$84))</f>
        <v>854932.75</v>
      </c>
      <c r="H24" s="77">
        <f>IF(H6="","",H21*(1-Fin_Analysis!$I$84))</f>
        <v>1176202.5</v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-0.22705865210748041</v>
      </c>
      <c r="D25" s="159" t="str">
        <f t="shared" ref="D25:M25" si="8">IF(E24="","",IF(ABS(D24+E24)=ABS(D24)+ABS(E24),IF(D24&lt;0,-1,1)*(D24-E24)/E24,"Turn"))</f>
        <v>Turn</v>
      </c>
      <c r="E25" s="159" t="str">
        <f t="shared" si="8"/>
        <v>Turn</v>
      </c>
      <c r="F25" s="159">
        <f t="shared" si="8"/>
        <v>-0.32656954596721205</v>
      </c>
      <c r="G25" s="159">
        <f t="shared" si="8"/>
        <v>-0.27314152962606353</v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45381</v>
      </c>
      <c r="D26" s="49">
        <f>D5</f>
        <v>45016</v>
      </c>
      <c r="E26" s="49">
        <f t="shared" ref="E26" si="9">EOMONTH(EDATE(D26,-12),0)</f>
        <v>44651</v>
      </c>
      <c r="F26" s="49">
        <f t="shared" ref="F26" si="10">EOMONTH(EDATE(E26,-12),0)</f>
        <v>44286</v>
      </c>
      <c r="G26" s="49">
        <f t="shared" ref="G26" si="11">EOMONTH(EDATE(F26,-12),0)</f>
        <v>43921</v>
      </c>
      <c r="H26" s="49">
        <f t="shared" ref="H26" si="12">EOMONTH(EDATE(G26,-12),0)</f>
        <v>43555</v>
      </c>
      <c r="I26" s="49">
        <f t="shared" ref="I26" si="13">EOMONTH(EDATE(H26,-12),0)</f>
        <v>43190</v>
      </c>
      <c r="J26" s="49">
        <f t="shared" ref="J26" si="14">EOMONTH(EDATE(I26,-12),0)</f>
        <v>42825</v>
      </c>
      <c r="K26" s="49">
        <f t="shared" ref="K26" si="15">EOMONTH(EDATE(J26,-12),0)</f>
        <v>42460</v>
      </c>
      <c r="L26" s="49">
        <f t="shared" ref="L26" si="16">EOMONTH(EDATE(K26,-12),0)</f>
        <v>42094</v>
      </c>
      <c r="M26" s="49">
        <f t="shared" ref="M26" si="17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18">IF(D36="","",D36+D31+D32)</f>
        <v>14928506</v>
      </c>
      <c r="E27" s="65">
        <f t="shared" si="18"/>
        <v>16220269</v>
      </c>
      <c r="F27" s="65">
        <f t="shared" si="18"/>
        <v>14512039</v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9">
        <f>IF(Inputs!D28="","",Inputs!D28)</f>
        <v>11972903</v>
      </c>
      <c r="E28" s="209">
        <f>IF(Inputs!E28="","",Inputs!E28)</f>
        <v>13002006</v>
      </c>
      <c r="F28" s="209">
        <f>IF(Inputs!F28="","",Inputs!F28)</f>
        <v>11732726</v>
      </c>
      <c r="G28" s="209" t="str">
        <f>IF(Inputs!G28="","",Inputs!G28)</f>
        <v/>
      </c>
      <c r="H28" s="209" t="str">
        <f>IF(Inputs!H28="","",Inputs!H28)</f>
        <v/>
      </c>
      <c r="I28" s="209" t="str">
        <f>IF(Inputs!I28="","",Inputs!I28)</f>
        <v/>
      </c>
      <c r="J28" s="209" t="str">
        <f>IF(Inputs!J28="","",Inputs!J28)</f>
        <v/>
      </c>
      <c r="K28" s="209" t="str">
        <f>IF(Inputs!K28="","",Inputs!K28)</f>
        <v/>
      </c>
      <c r="L28" s="209" t="str">
        <f>IF(Inputs!L28="","",Inputs!L28)</f>
        <v/>
      </c>
      <c r="M28" s="209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265773</v>
      </c>
      <c r="D29" s="209">
        <f>IF(Inputs!D29="","",Inputs!D29)</f>
        <v>213823</v>
      </c>
      <c r="E29" s="209">
        <f>IF(Inputs!E29="","",Inputs!E29)</f>
        <v>187711</v>
      </c>
      <c r="F29" s="209">
        <f>IF(Inputs!F29="","",Inputs!F29)</f>
        <v>277338</v>
      </c>
      <c r="G29" s="209" t="str">
        <f>IF(Inputs!G29="","",Inputs!G29)</f>
        <v/>
      </c>
      <c r="H29" s="209" t="str">
        <f>IF(Inputs!H29="","",Inputs!H29)</f>
        <v/>
      </c>
      <c r="I29" s="209" t="str">
        <f>IF(Inputs!I29="","",Inputs!I29)</f>
        <v/>
      </c>
      <c r="J29" s="209" t="str">
        <f>IF(Inputs!J29="","",Inputs!J29)</f>
        <v/>
      </c>
      <c r="K29" s="209" t="str">
        <f>IF(Inputs!K29="","",Inputs!K29)</f>
        <v/>
      </c>
      <c r="L29" s="209" t="str">
        <f>IF(Inputs!L29="","",Inputs!L29)</f>
        <v/>
      </c>
      <c r="M29" s="209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9672256</v>
      </c>
      <c r="D30" s="209">
        <f>IF(Inputs!D30="","",Inputs!D30)</f>
        <v>8852611</v>
      </c>
      <c r="E30" s="209">
        <f>IF(Inputs!E30="","",Inputs!E30)</f>
        <v>8769304</v>
      </c>
      <c r="F30" s="209">
        <f>IF(Inputs!F30="","",Inputs!F30)</f>
        <v>7321614</v>
      </c>
      <c r="G30" s="209" t="str">
        <f>IF(Inputs!G30="","",Inputs!G30)</f>
        <v/>
      </c>
      <c r="H30" s="209" t="str">
        <f>IF(Inputs!H30="","",Inputs!H30)</f>
        <v/>
      </c>
      <c r="I30" s="209" t="str">
        <f>IF(Inputs!I30="","",Inputs!I30)</f>
        <v/>
      </c>
      <c r="J30" s="209" t="str">
        <f>IF(Inputs!J30="","",Inputs!J30)</f>
        <v/>
      </c>
      <c r="K30" s="209" t="str">
        <f>IF(Inputs!K30="","",Inputs!K30)</f>
        <v/>
      </c>
      <c r="L30" s="209" t="str">
        <f>IF(Inputs!L30="","",Inputs!L30)</f>
        <v/>
      </c>
      <c r="M30" s="209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9">
        <f>IF(Inputs!D31="","",Inputs!D31)</f>
        <v>2466431</v>
      </c>
      <c r="E31" s="209">
        <f>IF(Inputs!E31="","",Inputs!E31)</f>
        <v>3908586</v>
      </c>
      <c r="F31" s="209">
        <f>IF(Inputs!F31="","",Inputs!F31)</f>
        <v>2946772</v>
      </c>
      <c r="G31" s="209" t="str">
        <f>IF(Inputs!G31="","",Inputs!G31)</f>
        <v/>
      </c>
      <c r="H31" s="209" t="str">
        <f>IF(Inputs!H31="","",Inputs!H31)</f>
        <v/>
      </c>
      <c r="I31" s="209" t="str">
        <f>IF(Inputs!I31="","",Inputs!I31)</f>
        <v/>
      </c>
      <c r="J31" s="209" t="str">
        <f>IF(Inputs!J31="","",Inputs!J31)</f>
        <v/>
      </c>
      <c r="K31" s="209" t="str">
        <f>IF(Inputs!K31="","",Inputs!K31)</f>
        <v/>
      </c>
      <c r="L31" s="209" t="str">
        <f>IF(Inputs!L31="","",Inputs!L31)</f>
        <v/>
      </c>
      <c r="M31" s="209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473357</v>
      </c>
      <c r="D32" s="209">
        <f>IF(Inputs!D32="","",Inputs!D32)</f>
        <v>241133</v>
      </c>
      <c r="E32" s="209">
        <f>IF(Inputs!E32="","",Inputs!E32)</f>
        <v>233155</v>
      </c>
      <c r="F32" s="209">
        <f>IF(Inputs!F32="","",Inputs!F32)</f>
        <v>241043</v>
      </c>
      <c r="G32" s="209" t="str">
        <f>IF(Inputs!G32="","",Inputs!G32)</f>
        <v/>
      </c>
      <c r="H32" s="209" t="str">
        <f>IF(Inputs!H32="","",Inputs!H32)</f>
        <v/>
      </c>
      <c r="I32" s="209" t="str">
        <f>IF(Inputs!I32="","",Inputs!I32)</f>
        <v/>
      </c>
      <c r="J32" s="209" t="str">
        <f>IF(Inputs!J32="","",Inputs!J32)</f>
        <v/>
      </c>
      <c r="K32" s="209" t="str">
        <f>IF(Inputs!K32="","",Inputs!K32)</f>
        <v/>
      </c>
      <c r="L32" s="209" t="str">
        <f>IF(Inputs!L32="","",Inputs!L32)</f>
        <v/>
      </c>
      <c r="M32" s="209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9">
        <f>IF(Inputs!D33="","",Inputs!D33)</f>
        <v>35175</v>
      </c>
      <c r="E33" s="209">
        <f>IF(Inputs!E33="","",Inputs!E33)</f>
        <v>1587989</v>
      </c>
      <c r="F33" s="209">
        <f>IF(Inputs!F33="","",Inputs!F33)</f>
        <v>1050082</v>
      </c>
      <c r="G33" s="209" t="str">
        <f>IF(Inputs!G33="","",Inputs!G33)</f>
        <v/>
      </c>
      <c r="H33" s="209" t="str">
        <f>IF(Inputs!H33="","",Inputs!H33)</f>
        <v/>
      </c>
      <c r="I33" s="209" t="str">
        <f>IF(Inputs!I33="","",Inputs!I33)</f>
        <v/>
      </c>
      <c r="J33" s="209" t="str">
        <f>IF(Inputs!J33="","",Inputs!J33)</f>
        <v/>
      </c>
      <c r="K33" s="209" t="str">
        <f>IF(Inputs!K33="","",Inputs!K33)</f>
        <v/>
      </c>
      <c r="L33" s="209" t="str">
        <f>IF(Inputs!L33="","",Inputs!L33)</f>
        <v/>
      </c>
      <c r="M33" s="209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9">
        <f>IF(Inputs!D34="","",Inputs!D34)</f>
        <v>67759</v>
      </c>
      <c r="E34" s="209">
        <f>IF(Inputs!E34="","",Inputs!E34)</f>
        <v>153013</v>
      </c>
      <c r="F34" s="209">
        <f>IF(Inputs!F34="","",Inputs!F34)</f>
        <v>81854</v>
      </c>
      <c r="G34" s="209" t="str">
        <f>IF(Inputs!G34="","",Inputs!G34)</f>
        <v/>
      </c>
      <c r="H34" s="209" t="str">
        <f>IF(Inputs!H34="","",Inputs!H34)</f>
        <v/>
      </c>
      <c r="I34" s="209" t="str">
        <f>IF(Inputs!I34="","",Inputs!I34)</f>
        <v/>
      </c>
      <c r="J34" s="209" t="str">
        <f>IF(Inputs!J34="","",Inputs!J34)</f>
        <v/>
      </c>
      <c r="K34" s="209" t="str">
        <f>IF(Inputs!K34="","",Inputs!K34)</f>
        <v/>
      </c>
      <c r="L34" s="209" t="str">
        <f>IF(Inputs!L34="","",Inputs!L34)</f>
        <v/>
      </c>
      <c r="M34" s="209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2034922</v>
      </c>
      <c r="D35" s="77">
        <f t="shared" ref="D35" si="20">IF(OR(D33="",D34=""),"",D33+D34)</f>
        <v>102934</v>
      </c>
      <c r="E35" s="77">
        <f t="shared" ref="E35" si="21">IF(OR(E33="",E34=""),"",E33+E34)</f>
        <v>1741002</v>
      </c>
      <c r="F35" s="77">
        <f t="shared" ref="F35" si="22">IF(OR(F33="",F34=""),"",F33+F34)</f>
        <v>1131936</v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12863898</v>
      </c>
      <c r="D36" s="209">
        <f>IF(Inputs!D35="","",Inputs!D35)</f>
        <v>12220942</v>
      </c>
      <c r="E36" s="209">
        <f>IF(Inputs!E35="","",Inputs!E35)</f>
        <v>12078528</v>
      </c>
      <c r="F36" s="209">
        <f>IF(Inputs!F35="","",Inputs!F35)</f>
        <v>11324224</v>
      </c>
      <c r="G36" s="209" t="str">
        <f>IF(Inputs!G35="","",Inputs!G35)</f>
        <v/>
      </c>
      <c r="H36" s="209" t="str">
        <f>IF(Inputs!H35="","",Inputs!H35)</f>
        <v/>
      </c>
      <c r="I36" s="209" t="str">
        <f>IF(Inputs!I35="","",Inputs!I35)</f>
        <v/>
      </c>
      <c r="J36" s="209" t="str">
        <f>IF(Inputs!J35="","",Inputs!J35)</f>
        <v/>
      </c>
      <c r="K36" s="209" t="str">
        <f>IF(Inputs!K35="","",Inputs!K35)</f>
        <v/>
      </c>
      <c r="L36" s="209" t="str">
        <f>IF(Inputs!L35="","",Inputs!L35)</f>
        <v/>
      </c>
      <c r="M36" s="209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-26962</v>
      </c>
      <c r="D37" s="209">
        <f>IF(Inputs!D36="","",Inputs!D36)</f>
        <v>-498</v>
      </c>
      <c r="E37" s="209">
        <f>IF(Inputs!E36="","",Inputs!E36)</f>
        <v>468</v>
      </c>
      <c r="F37" s="209">
        <f>IF(Inputs!F36="","",Inputs!F36)</f>
        <v>411</v>
      </c>
      <c r="G37" s="209" t="str">
        <f>IF(Inputs!G36="","",Inputs!G36)</f>
        <v/>
      </c>
      <c r="H37" s="209" t="str">
        <f>IF(Inputs!H36="","",Inputs!H36)</f>
        <v/>
      </c>
      <c r="I37" s="209" t="str">
        <f>IF(Inputs!I36="","",Inputs!I36)</f>
        <v/>
      </c>
      <c r="J37" s="209" t="str">
        <f>IF(Inputs!J36="","",Inputs!J36)</f>
        <v/>
      </c>
      <c r="K37" s="209" t="str">
        <f>IF(Inputs!K36="","",Inputs!K36)</f>
        <v/>
      </c>
      <c r="L37" s="209" t="str">
        <f>IF(Inputs!L36="","",Inputs!L36)</f>
        <v/>
      </c>
      <c r="M37" s="209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2923945</v>
      </c>
      <c r="D38" s="209">
        <f>IF(Inputs!D37="","",Inputs!D37)</f>
        <v>3475378</v>
      </c>
      <c r="E38" s="209">
        <f>IF(Inputs!E37="","",Inputs!E37)</f>
        <v>4499643</v>
      </c>
      <c r="F38" s="209">
        <f>IF(Inputs!F37="","",Inputs!F37)</f>
        <v>4455433</v>
      </c>
      <c r="G38" s="209" t="str">
        <f>IF(Inputs!G37="","",Inputs!G37)</f>
        <v/>
      </c>
      <c r="H38" s="209" t="str">
        <f>IF(Inputs!H37="","",Inputs!H37)</f>
        <v/>
      </c>
      <c r="I38" s="209" t="str">
        <f>IF(Inputs!I37="","",Inputs!I37)</f>
        <v/>
      </c>
      <c r="J38" s="209" t="str">
        <f>IF(Inputs!J37="","",Inputs!J37)</f>
        <v/>
      </c>
      <c r="K38" s="209" t="str">
        <f>IF(Inputs!K37="","",Inputs!K37)</f>
        <v/>
      </c>
      <c r="L38" s="209" t="str">
        <f>IF(Inputs!L37="","",Inputs!L37)</f>
        <v/>
      </c>
      <c r="M38" s="209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13930119</v>
      </c>
      <c r="D39" s="65">
        <f>IF(D38="","",D27-D38)</f>
        <v>11453128</v>
      </c>
      <c r="E39" s="65">
        <f t="shared" ref="E39:M39" si="30">IF(E38="","",E27-E38)</f>
        <v>11720626</v>
      </c>
      <c r="F39" s="65">
        <f t="shared" si="30"/>
        <v>10056606</v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6.9687918674635876E-2</v>
      </c>
      <c r="D40" s="160">
        <f>IF(D39="","",D21/D39)</f>
        <v>0.10965833962564638</v>
      </c>
      <c r="E40" s="160">
        <f t="shared" ref="E40:M40" si="32">IF(E39="","",E21/E39)</f>
        <v>-8.9683776276113583E-3</v>
      </c>
      <c r="F40" s="160">
        <f t="shared" si="32"/>
        <v>7.6332943075758691E-2</v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0.72762956087193742</v>
      </c>
      <c r="D42" s="161">
        <f t="shared" si="33"/>
        <v>0.7303022981431383</v>
      </c>
      <c r="E42" s="161">
        <f t="shared" si="33"/>
        <v>0.7244946946204498</v>
      </c>
      <c r="F42" s="161">
        <f t="shared" si="33"/>
        <v>0.70294374380383995</v>
      </c>
      <c r="G42" s="161">
        <f t="shared" si="33"/>
        <v>0.70419372087965826</v>
      </c>
      <c r="H42" s="161">
        <f t="shared" si="33"/>
        <v>0.74565961264792724</v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0.12012374818624762</v>
      </c>
      <c r="D43" s="157">
        <f t="shared" ref="D43:M43" si="34">IF(D6="","",(D10-MAX(D12,0))/D6)</f>
        <v>0.12475734364214461</v>
      </c>
      <c r="E43" s="157">
        <f t="shared" si="34"/>
        <v>0.1546380527940365</v>
      </c>
      <c r="F43" s="157">
        <f t="shared" si="34"/>
        <v>0.19122175157580659</v>
      </c>
      <c r="G43" s="157">
        <f t="shared" si="34"/>
        <v>0.18856108069142588</v>
      </c>
      <c r="H43" s="157">
        <f t="shared" si="34"/>
        <v>0.15238149582692045</v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4.413341231043115E-2</v>
      </c>
      <c r="D44" s="157">
        <f t="shared" ref="D44:M44" si="35">IF(D6="","",(MAX(D14,0)+MAX(D15,0))/D6)</f>
        <v>8.9565367523571013E-3</v>
      </c>
      <c r="E44" s="157">
        <f t="shared" si="35"/>
        <v>3.8804791663312119E-2</v>
      </c>
      <c r="F44" s="157">
        <f t="shared" si="35"/>
        <v>1.5679014505150749E-2</v>
      </c>
      <c r="G44" s="157">
        <f t="shared" si="35"/>
        <v>0</v>
      </c>
      <c r="H44" s="157">
        <f t="shared" si="35"/>
        <v>0</v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4.0883763120383568E-2</v>
      </c>
      <c r="D45" s="157">
        <f t="shared" si="36"/>
        <v>2.9395857885609465E-2</v>
      </c>
      <c r="E45" s="157">
        <f t="shared" si="36"/>
        <v>8.9049969572670459E-2</v>
      </c>
      <c r="F45" s="157">
        <f t="shared" si="36"/>
        <v>0</v>
      </c>
      <c r="G45" s="157">
        <f t="shared" si="36"/>
        <v>0</v>
      </c>
      <c r="H45" s="157">
        <f t="shared" si="36"/>
        <v>0</v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 t="shared" ref="C46:M46" si="37">IF(C6="","",C17/C6)</f>
        <v>3.8885650375487034E-3</v>
      </c>
      <c r="D46" s="157">
        <f t="shared" si="37"/>
        <v>1.7334505274905901E-3</v>
      </c>
      <c r="E46" s="157">
        <f t="shared" si="37"/>
        <v>1.9677447304235723E-3</v>
      </c>
      <c r="F46" s="157">
        <f t="shared" si="37"/>
        <v>3.2556042627888463E-3</v>
      </c>
      <c r="G46" s="157">
        <f t="shared" si="37"/>
        <v>5.6147664039083583E-3</v>
      </c>
      <c r="H46" s="157">
        <f t="shared" si="37"/>
        <v>2.1597113239037349E-3</v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>
        <f>IF(E6="","",MAX(E18,0)/(1-Fin_Analysis!$I$84)/E6)</f>
        <v>0</v>
      </c>
      <c r="F47" s="157">
        <f>IF(F6="","",MAX(F18,0)/(1-Fin_Analysis!$I$84)/F6)</f>
        <v>2.7068908541056925E-4</v>
      </c>
      <c r="G47" s="157">
        <f>IF(G6="","",MAX(G18,0)/(1-Fin_Analysis!$I$84)/G6)</f>
        <v>1.5868817930031392E-4</v>
      </c>
      <c r="H47" s="157">
        <f>IF(H6="","",MAX(H18,0)/(1-Fin_Analysis!$I$84)/H6)</f>
        <v>9.1702453784649294E-4</v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6.3340950473451521E-2</v>
      </c>
      <c r="D48" s="157">
        <f t="shared" si="38"/>
        <v>0.10485451304925995</v>
      </c>
      <c r="E48" s="157">
        <f t="shared" si="38"/>
        <v>-8.9552533808924892E-3</v>
      </c>
      <c r="F48" s="157">
        <f t="shared" si="38"/>
        <v>8.6629196767003327E-2</v>
      </c>
      <c r="G48" s="157">
        <f t="shared" si="38"/>
        <v>0.10147174384570713</v>
      </c>
      <c r="H48" s="157">
        <f t="shared" si="38"/>
        <v>9.8882155663402055E-2</v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1.7341358408692387E-2</v>
      </c>
      <c r="D50" s="161">
        <f t="shared" ref="D50:M50" si="39">IF(D29="","",D29/D6)</f>
        <v>1.7851543232655226E-2</v>
      </c>
      <c r="E50" s="161">
        <f t="shared" si="39"/>
        <v>1.5992004636642819E-2</v>
      </c>
      <c r="F50" s="161">
        <f t="shared" si="39"/>
        <v>3.1297541510393184E-2</v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0.63110270011109249</v>
      </c>
      <c r="D51" s="157">
        <f t="shared" ref="D51:M51" si="40">IF(D30="","",D30/D6)</f>
        <v>0.73908217538982812</v>
      </c>
      <c r="E51" s="157">
        <f t="shared" si="40"/>
        <v>0.74709926550990846</v>
      </c>
      <c r="F51" s="157">
        <f t="shared" si="40"/>
        <v>0.82624277267477186</v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0.23674800333023538</v>
      </c>
      <c r="D53" s="161">
        <f t="shared" ref="D53:M53" si="41">IF(D36="","",(D27-D36)/D27)</f>
        <v>0.1813687183432823</v>
      </c>
      <c r="E53" s="161">
        <f t="shared" si="41"/>
        <v>0.2553435457821322</v>
      </c>
      <c r="F53" s="161">
        <f t="shared" si="41"/>
        <v>0.21966692619831024</v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0.4770507174230757</v>
      </c>
      <c r="D54" s="162">
        <f t="shared" ref="D54:M54" si="42">IF(OR(D21="",D35=""),"",IF(D35&lt;=0,"-",D21/D35))</f>
        <v>12.201323177958692</v>
      </c>
      <c r="E54" s="162">
        <f t="shared" si="42"/>
        <v>-6.0376151204880865E-2</v>
      </c>
      <c r="F54" s="162">
        <f t="shared" si="42"/>
        <v>0.67817467889821803</v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 t="shared" ref="C55:M55" si="43">IF(C21="","",IF(C17&lt;=0,"-",C17/C21))</f>
        <v>6.1391011793840093E-2</v>
      </c>
      <c r="D55" s="157">
        <f t="shared" si="43"/>
        <v>1.6531959160176794E-2</v>
      </c>
      <c r="E55" s="157">
        <f t="shared" si="43"/>
        <v>-0.21973077106026734</v>
      </c>
      <c r="F55" s="157">
        <f t="shared" si="43"/>
        <v>3.7580912490105083E-2</v>
      </c>
      <c r="G55" s="157">
        <f t="shared" si="43"/>
        <v>5.5333299607483753E-2</v>
      </c>
      <c r="H55" s="157">
        <f t="shared" si="43"/>
        <v>2.1841264578165751E-2</v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3.5066755118062995</v>
      </c>
      <c r="D56" s="163">
        <f t="shared" si="44"/>
        <v>4.8543433811852026</v>
      </c>
      <c r="E56" s="163">
        <f t="shared" si="44"/>
        <v>3.3265242212912804</v>
      </c>
      <c r="F56" s="163">
        <f t="shared" si="44"/>
        <v>3.9815520169188523</v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67" zoomScaleNormal="100" workbookViewId="0">
      <selection activeCell="D83" sqref="D8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14">
        <f>Inputs!C76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3732661.2</v>
      </c>
      <c r="E6" s="56">
        <f>1-D6/D3</f>
        <v>0.70983435969408337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6.3577095758470952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3">
        <f>Inputs!C14</f>
        <v>45381</v>
      </c>
      <c r="E9" s="120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1998219</v>
      </c>
      <c r="D11" s="208">
        <f>Inputs!D40</f>
        <v>1</v>
      </c>
      <c r="E11" s="88">
        <f t="shared" ref="E11:E21" si="0">C11*D11</f>
        <v>1998219</v>
      </c>
      <c r="F11" s="113"/>
      <c r="G11" s="87"/>
      <c r="H11" s="3" t="s">
        <v>39</v>
      </c>
      <c r="I11" s="40">
        <f>Inputs!C66</f>
        <v>1427805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8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287697</v>
      </c>
      <c r="J12" s="87"/>
      <c r="K12" s="24"/>
    </row>
    <row r="13" spans="1:11" ht="13.9" x14ac:dyDescent="0.4">
      <c r="B13" s="3" t="s">
        <v>121</v>
      </c>
      <c r="C13" s="40">
        <f>Inputs!C42</f>
        <v>265773</v>
      </c>
      <c r="D13" s="208">
        <f>Inputs!D42</f>
        <v>0.8</v>
      </c>
      <c r="E13" s="88">
        <f t="shared" si="0"/>
        <v>212618.40000000002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8">
        <f>Inputs!D43</f>
        <v>0.3</v>
      </c>
      <c r="E14" s="88">
        <f>C14*D14</f>
        <v>0</v>
      </c>
      <c r="F14" s="113"/>
      <c r="G14" s="87"/>
      <c r="H14" s="86" t="s">
        <v>43</v>
      </c>
      <c r="I14" s="215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8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170</v>
      </c>
      <c r="C16" s="40">
        <f>Inputs!C45</f>
        <v>0</v>
      </c>
      <c r="D16" s="208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366595</v>
      </c>
      <c r="D17" s="208">
        <f>Inputs!D46</f>
        <v>0.1</v>
      </c>
      <c r="E17" s="88">
        <f t="shared" si="0"/>
        <v>36659.5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9672256</v>
      </c>
      <c r="D18" s="208">
        <f>Inputs!D47</f>
        <v>0.5</v>
      </c>
      <c r="E18" s="88">
        <f t="shared" si="0"/>
        <v>4836128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8">
        <f>Inputs!D48</f>
        <v>0.75</v>
      </c>
      <c r="E19" s="88">
        <f t="shared" si="0"/>
        <v>0</v>
      </c>
      <c r="F19" s="231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8">
        <f>Inputs!D49</f>
        <v>0.6</v>
      </c>
      <c r="E20" s="88">
        <f t="shared" si="0"/>
        <v>0</v>
      </c>
      <c r="F20" s="231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29465</v>
      </c>
      <c r="D21" s="208">
        <f>Inputs!D50</f>
        <v>0.95</v>
      </c>
      <c r="E21" s="88">
        <f t="shared" si="0"/>
        <v>27991.75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8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0.97652173682592514</v>
      </c>
      <c r="E24" s="88">
        <f>SUM(E11:E14)</f>
        <v>2210837.4</v>
      </c>
      <c r="F24" s="114">
        <f>E24/$E$28</f>
        <v>0.31087690869838996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4">
        <f t="shared" ref="F25:F27" si="2">E25/$E$28</f>
        <v>5.1548757201360113E-3</v>
      </c>
      <c r="G25" s="87"/>
      <c r="H25" s="23" t="s">
        <v>56</v>
      </c>
      <c r="I25" s="63">
        <f>E28/I28</f>
        <v>2.0221788132366587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 t="shared" ref="D26:D27" si="3">IF(E26=0,0,E26/C26)</f>
        <v>0.5</v>
      </c>
      <c r="E26" s="88">
        <f>E18+E19+E20</f>
        <v>4836128</v>
      </c>
      <c r="F26" s="114">
        <f t="shared" si="2"/>
        <v>0.68003215555776619</v>
      </c>
      <c r="G26" s="87"/>
      <c r="H26" s="23" t="s">
        <v>58</v>
      </c>
      <c r="I26" s="63">
        <f>E24/($I$28-I22)</f>
        <v>1.2887407884106226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 t="shared" si="3"/>
        <v>0.95</v>
      </c>
      <c r="E27" s="88">
        <f>E21+E22</f>
        <v>27991.75</v>
      </c>
      <c r="F27" s="114">
        <f t="shared" si="2"/>
        <v>3.9360600237078299E-3</v>
      </c>
      <c r="G27" s="87"/>
      <c r="H27" s="23" t="s">
        <v>60</v>
      </c>
      <c r="I27" s="63">
        <f>(E25+E24)/$I$28</f>
        <v>0.63907277876051838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 t="shared" ref="D28" si="4">E28/C28</f>
        <v>0.57666550738110012</v>
      </c>
      <c r="E28" s="70">
        <f>SUM(E24:E27)</f>
        <v>7111616.6500000004</v>
      </c>
      <c r="F28" s="113"/>
      <c r="G28" s="87"/>
      <c r="H28" s="78" t="s">
        <v>16</v>
      </c>
      <c r="I28" s="216">
        <f>Inputs!C70</f>
        <v>3516809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8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8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319420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8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8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5">
        <f>Inputs!C74</f>
        <v>0</v>
      </c>
      <c r="J33" s="87"/>
    </row>
    <row r="34" spans="2:10" ht="13.9" x14ac:dyDescent="0.4">
      <c r="B34" s="3" t="s">
        <v>68</v>
      </c>
      <c r="C34" s="40">
        <f>Inputs!C56</f>
        <v>103050</v>
      </c>
      <c r="D34" s="208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Inputs!C57</f>
        <v>0</v>
      </c>
      <c r="D35" s="208">
        <f>Inputs!D57</f>
        <v>0.1</v>
      </c>
      <c r="E35" s="88">
        <f t="shared" si="5"/>
        <v>0</v>
      </c>
      <c r="F35" s="231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925726</v>
      </c>
      <c r="D36" s="208">
        <f>Inputs!D58</f>
        <v>0.2</v>
      </c>
      <c r="E36" s="88">
        <f t="shared" si="5"/>
        <v>185145.2</v>
      </c>
      <c r="F36" s="231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8">
        <f>Inputs!D59</f>
        <v>0.05</v>
      </c>
      <c r="E37" s="88">
        <f>C37*D37</f>
        <v>0</v>
      </c>
      <c r="F37" s="231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2522337</v>
      </c>
      <c r="D38" s="208">
        <f>Inputs!D60</f>
        <v>0.1</v>
      </c>
      <c r="E38" s="88">
        <f>C38*D38</f>
        <v>252233.7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8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538321</v>
      </c>
      <c r="D40" s="208">
        <f>Inputs!D62</f>
        <v>0.05</v>
      </c>
      <c r="E40" s="88">
        <f t="shared" si="5"/>
        <v>26916.050000000003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154648</v>
      </c>
      <c r="D41" s="208">
        <f>Inputs!D63</f>
        <v>0.95</v>
      </c>
      <c r="E41" s="88">
        <f t="shared" si="5"/>
        <v>146915.6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277674</v>
      </c>
      <c r="D42" s="208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 t="shared" ref="D46:D47" si="6"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1.086448227499629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 t="shared" si="6"/>
        <v>0.17908917078678774</v>
      </c>
      <c r="E47" s="88">
        <f>E40+E41+E42</f>
        <v>173831.65000000002</v>
      </c>
      <c r="F47" s="87"/>
      <c r="G47" s="87"/>
      <c r="H47" s="23" t="s">
        <v>83</v>
      </c>
      <c r="I47" s="63">
        <f>(E44+E45+E24+E25)/$I$49</f>
        <v>0.56325899724472617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0.13517105965027748</v>
      </c>
      <c r="E48" s="76">
        <f>SUM(E30:E42)</f>
        <v>611210.55000000005</v>
      </c>
      <c r="F48" s="87"/>
      <c r="G48" s="87"/>
      <c r="H48" s="80" t="s">
        <v>85</v>
      </c>
      <c r="I48" s="217">
        <f>Inputs!C75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0.45821750765868696</v>
      </c>
      <c r="E49" s="88">
        <f>E28+E48</f>
        <v>7722827.2000000002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8">
        <f>I15+I34</f>
        <v>2034922</v>
      </c>
      <c r="E56" s="246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7">
        <f>Inputs!C77</f>
        <v>0</v>
      </c>
      <c r="E57" s="246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7">
        <f>Inputs!C78</f>
        <v>0</v>
      </c>
      <c r="E58" s="24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1998219</v>
      </c>
      <c r="D62" s="108">
        <f t="shared" si="7"/>
        <v>1</v>
      </c>
      <c r="E62" s="119">
        <f>E11+E30</f>
        <v>1998219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2923945</v>
      </c>
      <c r="D63" s="29">
        <f t="shared" si="7"/>
        <v>0.74671862842837333</v>
      </c>
      <c r="E63" s="61">
        <f>E61+E62</f>
        <v>2183364.2000000002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8"/>
      <c r="D64" s="21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889023</v>
      </c>
      <c r="D65" s="29">
        <f t="shared" si="7"/>
        <v>0.16697228305679401</v>
      </c>
      <c r="E65" s="61">
        <f>E63-E64</f>
        <v>148442.20000000019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13930119</v>
      </c>
      <c r="D68" s="29">
        <f t="shared" si="7"/>
        <v>0.3976608527177693</v>
      </c>
      <c r="E68" s="68">
        <f>E49-E63</f>
        <v>5539463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8"/>
      <c r="D69" s="218"/>
      <c r="E69" s="127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11974875</v>
      </c>
      <c r="D70" s="29">
        <f t="shared" si="7"/>
        <v>0.29931160032985732</v>
      </c>
      <c r="E70" s="68">
        <f>E68-E69</f>
        <v>3584219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1">
        <f>Data!C5</f>
        <v>45381</v>
      </c>
      <c r="D72" s="251"/>
      <c r="E72" s="249" t="s">
        <v>230</v>
      </c>
      <c r="F72" s="249"/>
      <c r="H72" s="249" t="s">
        <v>229</v>
      </c>
      <c r="I72" s="24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50" t="s">
        <v>103</v>
      </c>
      <c r="D73" s="250"/>
      <c r="E73" s="252" t="s">
        <v>104</v>
      </c>
      <c r="F73" s="250"/>
      <c r="H73" s="252" t="s">
        <v>104</v>
      </c>
      <c r="I73" s="250"/>
      <c r="K73" s="24"/>
    </row>
    <row r="74" spans="1:11" ht="15" customHeight="1" x14ac:dyDescent="0.4">
      <c r="B74" s="3" t="s">
        <v>136</v>
      </c>
      <c r="C74" s="77">
        <f>Data!C6</f>
        <v>15325962</v>
      </c>
      <c r="D74" s="219"/>
      <c r="E74" s="206">
        <f>H74*0.8</f>
        <v>12260769.600000001</v>
      </c>
      <c r="F74" s="219"/>
      <c r="H74" s="206">
        <f>C74</f>
        <v>15325962</v>
      </c>
      <c r="I74" s="219"/>
      <c r="K74" s="24"/>
    </row>
    <row r="75" spans="1:11" ht="15" customHeight="1" x14ac:dyDescent="0.4">
      <c r="B75" s="105" t="s">
        <v>109</v>
      </c>
      <c r="C75" s="77">
        <f>Data!C8</f>
        <v>11151623</v>
      </c>
      <c r="D75" s="164">
        <f>C75/$C$74</f>
        <v>0.72762956087193742</v>
      </c>
      <c r="E75" s="186">
        <f>E74*F75</f>
        <v>8921298.4000000004</v>
      </c>
      <c r="F75" s="165">
        <f>I75</f>
        <v>0.72762956087193742</v>
      </c>
      <c r="H75" s="206">
        <f>D75*H74</f>
        <v>11151623</v>
      </c>
      <c r="I75" s="165">
        <f>H75/$H$74</f>
        <v>0.72762956087193742</v>
      </c>
      <c r="K75" s="24"/>
    </row>
    <row r="76" spans="1:11" ht="15" customHeight="1" x14ac:dyDescent="0.4">
      <c r="B76" s="35" t="s">
        <v>96</v>
      </c>
      <c r="C76" s="166">
        <f>C74-C75</f>
        <v>4174339</v>
      </c>
      <c r="D76" s="220"/>
      <c r="E76" s="167">
        <f>E74-E75</f>
        <v>3339471.2000000011</v>
      </c>
      <c r="F76" s="220"/>
      <c r="H76" s="167">
        <f>H74-H75</f>
        <v>4174339</v>
      </c>
      <c r="I76" s="220"/>
      <c r="K76" s="24"/>
    </row>
    <row r="77" spans="1:11" ht="15" customHeight="1" x14ac:dyDescent="0.4">
      <c r="B77" s="105" t="s">
        <v>133</v>
      </c>
      <c r="C77" s="77">
        <f>Data!C10-MAX(Data!C12,0)</f>
        <v>1841012</v>
      </c>
      <c r="D77" s="164">
        <f>C77/$C$74</f>
        <v>0.12012374818624762</v>
      </c>
      <c r="E77" s="186">
        <f>E74*F77</f>
        <v>1472809.6</v>
      </c>
      <c r="F77" s="165">
        <f>I77</f>
        <v>0.12012374818624762</v>
      </c>
      <c r="H77" s="206">
        <f>D77*H74</f>
        <v>1841012</v>
      </c>
      <c r="I77" s="165">
        <f>H77/$H$74</f>
        <v>0.12012374818624762</v>
      </c>
      <c r="K77" s="24"/>
    </row>
    <row r="78" spans="1:11" ht="15" customHeight="1" x14ac:dyDescent="0.4">
      <c r="B78" s="35" t="s">
        <v>97</v>
      </c>
      <c r="C78" s="166">
        <f>C76-C77</f>
        <v>2333327</v>
      </c>
      <c r="D78" s="220"/>
      <c r="E78" s="167">
        <f>E76-E77</f>
        <v>1866661.600000001</v>
      </c>
      <c r="F78" s="220"/>
      <c r="H78" s="167">
        <f>H76-H77</f>
        <v>2333327</v>
      </c>
      <c r="I78" s="220"/>
      <c r="K78" s="24"/>
    </row>
    <row r="79" spans="1:11" ht="15" customHeight="1" x14ac:dyDescent="0.4">
      <c r="B79" s="105" t="s">
        <v>129</v>
      </c>
      <c r="C79" s="77">
        <f>MAX(Data!C17,0)</f>
        <v>59596</v>
      </c>
      <c r="D79" s="164">
        <f>C79/$C$74</f>
        <v>3.8885650375487034E-3</v>
      </c>
      <c r="E79" s="186">
        <f>E74*F79</f>
        <v>47676.80000000001</v>
      </c>
      <c r="F79" s="165">
        <f t="shared" ref="F79:F84" si="8">I79</f>
        <v>3.8885650375487034E-3</v>
      </c>
      <c r="H79" s="206">
        <f>C79</f>
        <v>59596</v>
      </c>
      <c r="I79" s="165">
        <f>H79/$H$74</f>
        <v>3.8885650375487034E-3</v>
      </c>
      <c r="K79" s="24"/>
    </row>
    <row r="80" spans="1:11" ht="15" customHeight="1" x14ac:dyDescent="0.4">
      <c r="B80" s="28" t="s">
        <v>135</v>
      </c>
      <c r="C80" s="77">
        <f>MAX(Data!C14,0)+MAX(Data!C15,0)</f>
        <v>676387</v>
      </c>
      <c r="D80" s="164">
        <f>C80/$C$74</f>
        <v>4.413341231043115E-2</v>
      </c>
      <c r="E80" s="186">
        <f>E74*F80</f>
        <v>367823.08800000005</v>
      </c>
      <c r="F80" s="165">
        <f t="shared" si="8"/>
        <v>0.03</v>
      </c>
      <c r="H80" s="206">
        <f>3%*H74</f>
        <v>459778.86</v>
      </c>
      <c r="I80" s="165">
        <f>H80/$H$74</f>
        <v>0.03</v>
      </c>
      <c r="K80" s="24"/>
    </row>
    <row r="81" spans="1:11" ht="15" customHeight="1" x14ac:dyDescent="0.4">
      <c r="B81" s="28" t="s">
        <v>113</v>
      </c>
      <c r="C81" s="77">
        <f>MAX(Data!C16,0)</f>
        <v>626583</v>
      </c>
      <c r="D81" s="164">
        <f>C81/$C$74</f>
        <v>4.0883763120383568E-2</v>
      </c>
      <c r="E81" s="186">
        <f>E74*F81</f>
        <v>501266.4</v>
      </c>
      <c r="F81" s="165">
        <f t="shared" si="8"/>
        <v>4.0883763120383568E-2</v>
      </c>
      <c r="H81" s="206">
        <f>C81</f>
        <v>626583</v>
      </c>
      <c r="I81" s="165">
        <f>H81/$H$74</f>
        <v>4.0883763120383568E-2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8"/>
        <v>0</v>
      </c>
      <c r="H82" s="206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970761</v>
      </c>
      <c r="D83" s="169">
        <f>C83/$C$74</f>
        <v>6.3340950473451521E-2</v>
      </c>
      <c r="E83" s="170">
        <f>E74*F83</f>
        <v>949895.31200000015</v>
      </c>
      <c r="F83" s="171">
        <f t="shared" si="8"/>
        <v>7.7474362783882672E-2</v>
      </c>
      <c r="H83" s="170">
        <f>H78-H79-H80-H81-H82</f>
        <v>1187369.1400000001</v>
      </c>
      <c r="I83" s="171">
        <f>H83/$H$74</f>
        <v>7.7474362783882672E-2</v>
      </c>
      <c r="K83" s="24"/>
    </row>
    <row r="84" spans="1:11" ht="15" customHeight="1" thickTop="1" x14ac:dyDescent="0.4">
      <c r="B84" s="28" t="s">
        <v>98</v>
      </c>
      <c r="C84" s="221"/>
      <c r="D84" s="164">
        <f>I84</f>
        <v>0.25</v>
      </c>
      <c r="E84" s="222"/>
      <c r="F84" s="185">
        <f t="shared" si="8"/>
        <v>0.25</v>
      </c>
      <c r="H84" s="222"/>
      <c r="I84" s="212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728070.75</v>
      </c>
      <c r="D85" s="171">
        <f>C85/$C$74</f>
        <v>4.7505712855088637E-2</v>
      </c>
      <c r="E85" s="172">
        <f>E83*(1-F84)</f>
        <v>712421.48400000017</v>
      </c>
      <c r="F85" s="171">
        <f>E85/$H$74</f>
        <v>4.648461767032961E-2</v>
      </c>
      <c r="H85" s="172">
        <f>H83*(1-I84)</f>
        <v>890526.8550000001</v>
      </c>
      <c r="I85" s="171">
        <f>H85/$H$74</f>
        <v>5.8105772087912011E-2</v>
      </c>
      <c r="K85" s="24"/>
    </row>
    <row r="86" spans="1:11" ht="15" customHeight="1" x14ac:dyDescent="0.4">
      <c r="B86" s="87" t="s">
        <v>172</v>
      </c>
      <c r="C86" s="173">
        <f>C85*Data!C4/Common_Shares</f>
        <v>1.2400971133327547</v>
      </c>
      <c r="D86" s="219"/>
      <c r="E86" s="174">
        <f>E85*Data!C4/Common_Shares</f>
        <v>1.2134422729997565</v>
      </c>
      <c r="F86" s="219"/>
      <c r="H86" s="174">
        <f>H85*Data!C4/Common_Shares</f>
        <v>1.5168028412496957</v>
      </c>
      <c r="I86" s="219"/>
      <c r="K86" s="24"/>
    </row>
    <row r="87" spans="1:11" ht="15" customHeight="1" x14ac:dyDescent="0.4">
      <c r="B87" s="87" t="s">
        <v>232</v>
      </c>
      <c r="C87" s="165">
        <f>C86/Dashboard!G3</f>
        <v>8.2125634569821943E-2</v>
      </c>
      <c r="D87" s="219"/>
      <c r="E87" s="165">
        <f>E86/Dashboard!G3</f>
        <v>8.0360413400310693E-2</v>
      </c>
      <c r="F87" s="219"/>
      <c r="H87" s="165">
        <f>H86/Dashboard!G3</f>
        <v>0.10045051675038838</v>
      </c>
      <c r="I87" s="219"/>
      <c r="K87" s="24"/>
    </row>
    <row r="88" spans="1:11" ht="15" customHeight="1" x14ac:dyDescent="0.4">
      <c r="B88" s="86" t="s">
        <v>231</v>
      </c>
      <c r="C88" s="175">
        <f>Inputs!F5</f>
        <v>1.3599999999999999</v>
      </c>
      <c r="D88" s="171">
        <f>C88/C86</f>
        <v>1.0966883039869408</v>
      </c>
      <c r="E88" s="205">
        <f>H88*0.85</f>
        <v>1.1559999999999999</v>
      </c>
      <c r="F88" s="171">
        <f>E88/E86</f>
        <v>0.95266171759637708</v>
      </c>
      <c r="H88" s="176">
        <f>Inputs!F6</f>
        <v>1.3599999999999999</v>
      </c>
      <c r="I88" s="171">
        <f>H88/H86</f>
        <v>0.8966227930318843</v>
      </c>
      <c r="K88" s="24"/>
    </row>
    <row r="89" spans="1:11" ht="15" customHeight="1" x14ac:dyDescent="0.4">
      <c r="B89" s="87" t="s">
        <v>233</v>
      </c>
      <c r="C89" s="165">
        <f>C88/Dashboard!G3</f>
        <v>9.0066222890229308E-2</v>
      </c>
      <c r="D89" s="219"/>
      <c r="E89" s="165">
        <f>E88/Dashboard!G3</f>
        <v>7.6556289456694904E-2</v>
      </c>
      <c r="F89" s="219"/>
      <c r="H89" s="165">
        <f>H88/Dashboard!G3</f>
        <v>9.0066222890229308E-2</v>
      </c>
      <c r="I89" s="21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8" t="str">
        <f>Inputs!C15</f>
        <v>HK</v>
      </c>
      <c r="D92" s="10" t="s">
        <v>168</v>
      </c>
      <c r="E92" s="249" t="s">
        <v>230</v>
      </c>
      <c r="F92" s="249"/>
      <c r="G92" s="87"/>
      <c r="H92" s="249" t="s">
        <v>229</v>
      </c>
      <c r="I92" s="249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7.0000000000000007E-2</v>
      </c>
      <c r="D93" s="207">
        <v>5</v>
      </c>
      <c r="E93" s="87" t="s">
        <v>234</v>
      </c>
      <c r="F93" s="146">
        <f>FV(E87,D93,0,-(E86/C93))</f>
        <v>25.513168208416136</v>
      </c>
      <c r="H93" s="87" t="s">
        <v>234</v>
      </c>
      <c r="I93" s="146">
        <f>FV(H87,D93,0,-(H86/C93))</f>
        <v>34.969038154922046</v>
      </c>
      <c r="K93" s="24"/>
    </row>
    <row r="94" spans="1:11" ht="15" customHeight="1" x14ac:dyDescent="0.4">
      <c r="B94" s="1" t="s">
        <v>236</v>
      </c>
      <c r="C94" s="188">
        <f>Dashboard!G20</f>
        <v>0.15</v>
      </c>
      <c r="D94" s="147"/>
      <c r="E94" s="87" t="s">
        <v>235</v>
      </c>
      <c r="F94" s="146">
        <f>FV(E89,D93,0,-(E88/C93))</f>
        <v>23.880505008882196</v>
      </c>
      <c r="H94" s="87" t="s">
        <v>235</v>
      </c>
      <c r="I94" s="146">
        <f>FV(H89,D93,0,-(H88/C93))</f>
        <v>29.902347331465716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239</v>
      </c>
      <c r="F96" s="189" t="str">
        <f>E72</f>
        <v>Pessimistic Case</v>
      </c>
      <c r="H96" s="189" t="str">
        <f>H72</f>
        <v>Base Case</v>
      </c>
      <c r="I96" s="125" t="s">
        <v>238</v>
      </c>
      <c r="K96" s="24"/>
    </row>
    <row r="97" spans="2:11" ht="15" customHeight="1" x14ac:dyDescent="0.4">
      <c r="B97" s="1" t="s">
        <v>140</v>
      </c>
      <c r="C97" s="91">
        <f>H97*Common_Shares/Data!C4</f>
        <v>14638031.78044465</v>
      </c>
      <c r="E97" s="124">
        <f>PV(C94,D93,0,-F93)*Exchange_Rate</f>
        <v>12.684553676976455</v>
      </c>
      <c r="F97" s="124">
        <f>PV(C93,D93,0,-F93)*Exchange_Rate</f>
        <v>18.190536327442807</v>
      </c>
      <c r="H97" s="124">
        <f>PV(C93,D93,0,-I93)*Exchange_Rate</f>
        <v>24.932440914296496</v>
      </c>
      <c r="I97" s="225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3"/>
      <c r="F98" s="223"/>
      <c r="H98" s="124">
        <f>C98*Data!$C$4/Common_Shares</f>
        <v>0</v>
      </c>
      <c r="I98" s="225"/>
      <c r="K98" s="24"/>
    </row>
    <row r="99" spans="2:11" ht="15" customHeight="1" thickBot="1" x14ac:dyDescent="0.45">
      <c r="B99" s="106" t="s">
        <v>156</v>
      </c>
      <c r="C99" s="109">
        <f>(E65+MIN(0,E70))*Exchange_Rate</f>
        <v>148442.20000000019</v>
      </c>
      <c r="E99" s="224"/>
      <c r="F99" s="224"/>
      <c r="H99" s="148">
        <f>C99*Data!$C$4/Common_Shares</f>
        <v>0.25283634003531069</v>
      </c>
      <c r="I99" s="226"/>
      <c r="K99" s="24"/>
    </row>
    <row r="100" spans="2:11" ht="15" customHeight="1" thickTop="1" x14ac:dyDescent="0.4">
      <c r="B100" s="1" t="s">
        <v>119</v>
      </c>
      <c r="C100" s="91">
        <f>C97-C98+$C$99</f>
        <v>14786473.980444651</v>
      </c>
      <c r="E100" s="110">
        <f>MAX(E97-F98+F99,0)</f>
        <v>12.684553676976455</v>
      </c>
      <c r="F100" s="110">
        <f>MAX(F97-H98+H99,0)</f>
        <v>18.443372667478119</v>
      </c>
      <c r="H100" s="110">
        <f>MAX(C100*Data!$C$4/Common_Shares,0)</f>
        <v>25.185277254331808</v>
      </c>
      <c r="I100" s="110">
        <f>H100*1.25</f>
        <v>31.48159656791476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239</v>
      </c>
      <c r="F102" s="189" t="str">
        <f>F96</f>
        <v>Pessimistic Case</v>
      </c>
      <c r="H102" s="189" t="str">
        <f>H96</f>
        <v>Base Case</v>
      </c>
      <c r="I102" s="125" t="s">
        <v>238</v>
      </c>
      <c r="K102" s="24"/>
    </row>
    <row r="103" spans="2:11" ht="15" customHeight="1" x14ac:dyDescent="0.4">
      <c r="B103" s="1" t="s">
        <v>173</v>
      </c>
      <c r="C103" s="91">
        <f>H103*Common_Shares/Data!C4</f>
        <v>12517116.101641463</v>
      </c>
      <c r="E103" s="110">
        <f>PV(C94,D93,0,-F94)*Exchange_Rate</f>
        <v>11.872831517590509</v>
      </c>
      <c r="F103" s="124">
        <f>PV(C93,D93,0,-F94)*Exchange_Rate</f>
        <v>17.026470030423521</v>
      </c>
      <c r="H103" s="124">
        <f>PV(C93,D93,0,-I94)*Exchange_Rate</f>
        <v>21.319960381455406</v>
      </c>
      <c r="I103" s="110">
        <f>H103*1.25</f>
        <v>26.649950476819257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217</v>
      </c>
      <c r="C105" s="128" t="str">
        <f>C102</f>
        <v>HKD</v>
      </c>
      <c r="E105" s="125" t="s">
        <v>239</v>
      </c>
      <c r="F105" s="190" t="s">
        <v>227</v>
      </c>
      <c r="H105" s="190" t="s">
        <v>227</v>
      </c>
      <c r="I105" s="125" t="s">
        <v>238</v>
      </c>
      <c r="K105" s="24"/>
    </row>
    <row r="106" spans="2:11" ht="15" customHeight="1" x14ac:dyDescent="0.4">
      <c r="B106" s="1" t="s">
        <v>218</v>
      </c>
      <c r="C106" s="91">
        <f>F106*Common_Shares/Data!C4</f>
        <v>10412311.543101616</v>
      </c>
      <c r="E106" s="110">
        <f>(E100+E103)/2</f>
        <v>12.278692597283481</v>
      </c>
      <c r="F106" s="124">
        <f>(F100+F103)/2</f>
        <v>17.73492134895082</v>
      </c>
      <c r="H106" s="124">
        <f>(H100+H103)/2</f>
        <v>23.252618817893605</v>
      </c>
      <c r="I106" s="110">
        <f>H106*1.25</f>
        <v>29.065773522367007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228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2024-11-13T06:07:09Z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