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DD542DA-F1CB-4487-BD91-9F17779E2D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1" i="4" l="1"/>
  <c r="C21" i="4"/>
  <c r="D20" i="4"/>
  <c r="C20" i="4"/>
  <c r="F5" i="4"/>
  <c r="H105" i="3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<sst xmlns="http://schemas.openxmlformats.org/spreadsheetml/2006/main" count="349" uniqueCount="249">
  <si>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</si>
  <si>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</si>
  <si>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</si>
  <si>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</si>
  <si>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</si>
  <si>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</si>
  <si>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</si>
  <si>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</si>
  <si>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</si>
  <si>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</si>
  <si>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</si>
  <si>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</si>
  <si>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</si>
  <si>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</si>
  <si>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</si>
  <si>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</si>
  <si>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</si>
  <si>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</si>
  <si>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</si>
  <si>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</si>
  <si>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</si>
  <si>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</si>
  <si>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</si>
  <si>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</si>
  <si>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</si>
  <si>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</si>
  <si>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</si>
  <si>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</si>
  <si>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</si>
  <si>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</si>
  <si>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</si>
  <si>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</si>
  <si>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</si>
  <si>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</si>
  <si>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</si>
  <si>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</si>
  <si>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</si>
  <si>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</si>
  <si>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</si>
  <si>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</si>
  <si>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</si>
  <si>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</si>
  <si>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</si>
  <si>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</si>
  <si>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</si>
  <si>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</si>
  <si>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</si>
  <si>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</si>
  <si>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</si>
  <si>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</si>
  <si>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</si>
  <si>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</si>
  <si>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</si>
  <si>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</si>
  <si>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</si>
  <si>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</si>
  <si>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</si>
  <si>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</si>
  <si>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</si>
  <si>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</si>
  <si>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</si>
  <si>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</si>
  <si>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</si>
  <si>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</si>
  <si>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</si>
  <si>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</si>
  <si>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</si>
  <si>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</si>
  <si>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</si>
  <si>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</si>
  <si>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</si>
  <si>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</si>
  <si>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</si>
  <si>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</si>
  <si>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</si>
  <si>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</si>
  <si>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</si>
  <si>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</si>
  <si>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</si>
  <si>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</si>
  <si>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</si>
  <si>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</si>
  <si>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</si>
  <si>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</si>
  <si>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</si>
  <si>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</si>
  <si>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</si>
  <si>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</si>
  <si>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</si>
  <si>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</si>
  <si>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</si>
  <si>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</si>
  <si>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</si>
  <si>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</si>
  <si>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</si>
  <si>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</si>
  <si>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</si>
  <si>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</si>
  <si>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</si>
  <si>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</si>
  <si>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</si>
  <si>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</si>
  <si>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</si>
  <si>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</si>
  <si>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</si>
  <si>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</si>
  <si>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</si>
  <si>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</si>
  <si>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</si>
  <si>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</si>
  <si>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</si>
  <si>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</si>
  <si>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</si>
  <si>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</si>
  <si>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</si>
  <si>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</si>
  <si>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</si>
  <si>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</si>
  <si>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</si>
  <si>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</si>
  <si>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</si>
  <si>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</si>
  <si>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</si>
  <si>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</si>
  <si>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</si>
  <si>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</si>
  <si>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</si>
  <si>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</si>
  <si>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</si>
  <si>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</si>
  <si>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</si>
  <si>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</si>
  <si>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</si>
  <si>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</si>
  <si>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</si>
  <si>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</si>
  <si>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</si>
  <si>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</si>
  <si>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</si>
  <si>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</si>
  <si>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</si>
  <si>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</si>
  <si>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</si>
  <si>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</si>
  <si>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</si>
  <si>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</si>
  <si>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</si>
  <si>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</si>
  <si>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</si>
  <si>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</si>
  <si>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</si>
  <si>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</si>
  <si>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</si>
  <si>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</si>
  <si>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</si>
  <si>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</si>
  <si>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</si>
  <si>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</si>
  <si>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</si>
  <si>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</si>
  <si>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</si>
  <si>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</si>
  <si>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</si>
  <si>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</si>
  <si>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</si>
  <si>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</si>
  <si>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</si>
  <si>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</si>
  <si>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</si>
  <si>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</si>
  <si>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</si>
  <si>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</si>
  <si>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</si>
  <si>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</si>
  <si>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</si>
  <si>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</si>
  <si>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</si>
  <si>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</si>
  <si>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</si>
  <si>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</si>
  <si>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</si>
  <si>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</si>
  <si>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</si>
  <si>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</si>
  <si>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</si>
  <si>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</si>
  <si>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</si>
  <si>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</si>
  <si>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</si>
  <si>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</si>
  <si>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</si>
  <si>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</si>
  <si>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</si>
  <si>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</si>
  <si>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</si>
  <si>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</si>
  <si>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</si>
  <si>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</si>
  <si>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</si>
  <si>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</si>
  <si>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</si>
  <si>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</si>
  <si>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</si>
  <si>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</si>
  <si>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</si>
  <si>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</si>
  <si>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</si>
  <si>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</si>
  <si>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</si>
  <si>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</si>
  <si>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</si>
  <si>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</si>
  <si>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</si>
  <si>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</si>
  <si>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</si>
  <si>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</si>
  <si>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</si>
  <si>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</si>
  <si>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</si>
  <si>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</si>
  <si>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</si>
  <si>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</si>
  <si>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</si>
  <si>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</si>
  <si>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</si>
  <si>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</si>
  <si>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</si>
  <si>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</si>
  <si>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</si>
  <si>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</si>
  <si>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</si>
  <si>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</si>
  <si>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</si>
  <si>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</si>
  <si>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</si>
  <si>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</si>
  <si>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</si>
  <si>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</si>
  <si>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</si>
  <si>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</si>
  <si>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</si>
  <si>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</si>
  <si>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</si>
  <si>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</si>
  <si>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</si>
  <si>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</si>
  <si>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0788.HK</t>
    <phoneticPr fontId="20" type="noConversion"/>
  </si>
  <si>
    <t>中国铁塔</t>
    <phoneticPr fontId="20" type="noConversion"/>
  </si>
  <si>
    <t>C0010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</si>
</sst>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9" sqref="C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0788.HK</v>
      </c>
      <c r="D3" s="246"/>
      <c r="E3" s="87"/>
      <c r="F3" s="3" t="s">
        <v>1</v>
      </c>
      <c r="G3" s="133">
        <v>1.03999996185303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中国铁塔</v>
      </c>
      <c r="D4" s="248"/>
      <c r="E4" s="87"/>
      <c r="F4" s="3" t="s">
        <v>3</v>
      </c>
      <c r="G4" s="251">
        <f>Inputs!C10</f>
        <v>176008471024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45603</v>
      </c>
      <c r="D5" s="250"/>
      <c r="E5" s="34"/>
      <c r="F5" s="35" t="s">
        <v>102</v>
      </c>
      <c r="G5" s="243">
        <f>G3*G4/1000000</f>
        <v>183048.80315077014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C0010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0.69462498271442097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0.15111319129019563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3.0071588890425386E-2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5.1662451964850302E-2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0.97067227017832514</v>
      </c>
    </row>
    <row r="26" spans="1:8" ht="15.75" customHeight="1" x14ac:dyDescent="0.4">
      <c r="B26" s="139" t="s">
        <v>187</v>
      </c>
      <c r="C26" s="177">
        <f>Fin_Analysis!I83</f>
        <v>0.12419023710495804</v>
      </c>
      <c r="F26" s="142" t="s">
        <v>210</v>
      </c>
      <c r="G26" s="184">
        <f>Fin_Analysis!H88*Exchange_Rate/G3</f>
        <v>5.0147309531699921E-2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0.41395477099782568</v>
      </c>
      <c r="D29" s="130">
        <f>IF(Fin_Analysis!C108="Profit",Fin_Analysis!I100,IF(Fin_Analysis!C108="Dividend",Fin_Analysis!I103,Fin_Analysis!I106))</f>
        <v>0.70832623861624899</v>
      </c>
      <c r="E29" s="87"/>
      <c r="F29" s="132">
        <f>IF(Fin_Analysis!C108="Profit",Fin_Analysis!F100,IF(Fin_Analysis!C108="Dividend",Fin_Analysis!F103,Fin_Analysis!F106))</f>
        <v>0.56666099089299915</v>
      </c>
      <c r="G29" s="242">
        <f>IF(Fin_Analysis!C108="Profit",Fin_Analysis!H100,IF(Fin_Analysis!C108="Dividend",Fin_Analysis!H103,Fin_Analysis!H106))</f>
        <v>0.56666099089299915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22" sqref="D2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57" t="s">
        <v>247</v>
      </c>
      <c r="E5" s="231">
        <f>C18</f>
        <v>45291</v>
      </c>
      <c r="F5" s="232">
        <f>0.03739+0.0109</f>
        <v>4.829E-2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4.829E-2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176008471024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94009</v>
      </c>
      <c r="D19" s="152">
        <v>92170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f>49049+7408+8844</f>
        <v>65301</v>
      </c>
      <c r="D20" s="153">
        <f>49532+7593+7940</f>
        <v>65065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f>5393+8813</f>
        <v>14206</v>
      </c>
      <c r="D21" s="153">
        <f>5857+7936</f>
        <v>13793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2827</v>
      </c>
      <c r="D26" s="153">
        <v>3003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C56" sqref="C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11675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94009</v>
      </c>
      <c r="D6" s="209">
        <f>IF(Inputs!D19="","",Inputs!D19)</f>
        <v>92170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65301</v>
      </c>
      <c r="D8" s="208">
        <f>IF(Inputs!D20="","",Inputs!D20)</f>
        <v>65065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28708</v>
      </c>
      <c r="D9" s="154">
        <f t="shared" si="2"/>
        <v>27105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14206</v>
      </c>
      <c r="D10" s="208">
        <f>IF(Inputs!D21="","",Inputs!D21)</f>
        <v>13793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14502</v>
      </c>
      <c r="D13" s="154">
        <f t="shared" ref="D13:M13" si="4">IF(D6="","",(D9-D10+MAX(D12,0)))</f>
        <v>13312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2827</v>
      </c>
      <c r="D17" s="208">
        <f>IF(Inputs!D26="","",Inputs!D26)</f>
        <v>3003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11675</v>
      </c>
      <c r="D19" s="237">
        <f>IF(D6="","",D9-D10-MAX(D17,0)-MAX(D18,0)/(1-Fin_Analysis!$I$84))</f>
        <v>10309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0.13250557765059656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11675</v>
      </c>
      <c r="D21" s="77">
        <f>IF(D6="","",D13-MAX(D14,0)-MAX(D15,0)-MAX(D16,0)-MAX(D17,0)-MAX(D18,0)/(1-Fin_Analysis!$I$84))</f>
        <v>10309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0.13250557765059656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9.3142677828718531E-2</v>
      </c>
      <c r="D23" s="157">
        <f t="shared" si="7"/>
        <v>8.3885754583921016E-2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8756.25</v>
      </c>
      <c r="D24" s="77">
        <f>IF(D6="","",D21*(1-Fin_Analysis!$I$84))</f>
        <v>7731.75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0.13250557765059656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0.69462498271442097</v>
      </c>
      <c r="D42" s="161">
        <f t="shared" si="33"/>
        <v>0.70592383638928069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0.15111319129019563</v>
      </c>
      <c r="D43" s="157">
        <f t="shared" ref="D43:M43" si="34">IF(D6="","",(D10-MAX(D12,0))/D6)</f>
        <v>0.14964739069111424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3.0071588890425386E-2</v>
      </c>
      <c r="D46" s="157">
        <f t="shared" ref="D46:M46" si="37">IF(D6="","",MAX(D17,0)/D6)</f>
        <v>3.258110014104372E-2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0.12419023710495804</v>
      </c>
      <c r="D48" s="157">
        <f t="shared" si="38"/>
        <v>0.11184767277856135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0.24214132762312635</v>
      </c>
      <c r="D55" s="157">
        <f t="shared" ref="D55:M55" si="43">IF(D21="","",IF(MAX(D17,0)&lt;=0,"-",D17/D21))</f>
        <v>0.29129886506935687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55" zoomScaleNormal="100" workbookViewId="0">
      <selection activeCell="D106" sqref="D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225</v>
      </c>
      <c r="F72" s="253"/>
      <c r="H72" s="253" t="s">
        <v>224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94009</v>
      </c>
      <c r="D74" s="218"/>
      <c r="E74" s="205">
        <f>H74</f>
        <v>94009</v>
      </c>
      <c r="F74" s="218"/>
      <c r="H74" s="205">
        <f>C74</f>
        <v>94009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65301</v>
      </c>
      <c r="D75" s="164">
        <f>C75/$C$74</f>
        <v>0.69462498271442097</v>
      </c>
      <c r="E75" s="186">
        <f>E74*F75</f>
        <v>65301</v>
      </c>
      <c r="F75" s="165">
        <f>I75</f>
        <v>0.69462498271442097</v>
      </c>
      <c r="H75" s="205">
        <f>D75*H74</f>
        <v>65301</v>
      </c>
      <c r="I75" s="165">
        <f>H75/$H$74</f>
        <v>0.69462498271442097</v>
      </c>
      <c r="K75" s="24"/>
    </row>
    <row r="76" spans="1:11" ht="15" customHeight="1" x14ac:dyDescent="0.4">
      <c r="B76" s="35" t="s">
        <v>96</v>
      </c>
      <c r="C76" s="166">
        <f>C74-C75</f>
        <v>28708</v>
      </c>
      <c r="D76" s="219"/>
      <c r="E76" s="167">
        <f>E74-E75</f>
        <v>28708</v>
      </c>
      <c r="F76" s="219"/>
      <c r="H76" s="167">
        <f>H74-H75</f>
        <v>28708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14206</v>
      </c>
      <c r="D77" s="164">
        <f>C77/$C$74</f>
        <v>0.15111319129019563</v>
      </c>
      <c r="E77" s="186">
        <f>E74*F77</f>
        <v>14206</v>
      </c>
      <c r="F77" s="165">
        <f>I77</f>
        <v>0.15111319129019563</v>
      </c>
      <c r="H77" s="205">
        <f>D77*H74</f>
        <v>14206</v>
      </c>
      <c r="I77" s="165">
        <f>H77/$H$74</f>
        <v>0.15111319129019563</v>
      </c>
      <c r="K77" s="24"/>
    </row>
    <row r="78" spans="1:11" ht="15" customHeight="1" x14ac:dyDescent="0.4">
      <c r="B78" s="35" t="s">
        <v>97</v>
      </c>
      <c r="C78" s="166">
        <f>C76-C77</f>
        <v>14502</v>
      </c>
      <c r="D78" s="219"/>
      <c r="E78" s="167">
        <f>E76-E77</f>
        <v>14502</v>
      </c>
      <c r="F78" s="219"/>
      <c r="H78" s="167">
        <f>H76-H77</f>
        <v>14502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2827</v>
      </c>
      <c r="D79" s="164">
        <f>C79/$C$74</f>
        <v>3.0071588890425386E-2</v>
      </c>
      <c r="E79" s="186">
        <f>E74*F79</f>
        <v>2827</v>
      </c>
      <c r="F79" s="165">
        <f t="shared" ref="F79:F84" si="3">I79</f>
        <v>3.0071588890425386E-2</v>
      </c>
      <c r="H79" s="205">
        <f>C79</f>
        <v>2827</v>
      </c>
      <c r="I79" s="165">
        <f>H79/$H$74</f>
        <v>3.0071588890425386E-2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11675</v>
      </c>
      <c r="D83" s="169">
        <f>C83/$C$74</f>
        <v>0.12419023710495804</v>
      </c>
      <c r="E83" s="170">
        <f>E78-E79-E80-E81-E82</f>
        <v>11675</v>
      </c>
      <c r="F83" s="169">
        <f>E83/E74</f>
        <v>0.12419023710495804</v>
      </c>
      <c r="H83" s="170">
        <f>H78-H79-H80-H81-H82</f>
        <v>11675</v>
      </c>
      <c r="I83" s="169">
        <f>H83/$H$74</f>
        <v>0.12419023710495804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8756.25</v>
      </c>
      <c r="D85" s="171">
        <f>C85/$C$74</f>
        <v>9.3142677828718531E-2</v>
      </c>
      <c r="E85" s="172">
        <f>E83*(1-F84)</f>
        <v>8756.25</v>
      </c>
      <c r="F85" s="171">
        <f>E85/E74</f>
        <v>9.3142677828718531E-2</v>
      </c>
      <c r="H85" s="172">
        <f>H83*(1-I84)</f>
        <v>8756.25</v>
      </c>
      <c r="I85" s="171">
        <f>H85/$H$74</f>
        <v>9.3142677828718531E-2</v>
      </c>
      <c r="K85" s="24"/>
    </row>
    <row r="86" spans="1:11" ht="15" customHeight="1" x14ac:dyDescent="0.4">
      <c r="B86" s="87" t="s">
        <v>172</v>
      </c>
      <c r="C86" s="173">
        <f>C85*Data!C4/Common_Shares</f>
        <v>4.9749025993220654E-2</v>
      </c>
      <c r="D86" s="218"/>
      <c r="E86" s="174">
        <f>E85*Data!C4/Common_Shares</f>
        <v>4.9749025993220654E-2</v>
      </c>
      <c r="F86" s="218"/>
      <c r="H86" s="174">
        <f>H85*Data!C4/Common_Shares</f>
        <v>4.9749025993220654E-2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5.1662451964850302E-2</v>
      </c>
      <c r="D87" s="218"/>
      <c r="E87" s="239">
        <f>E86*Exchange_Rate/Dashboard!G3</f>
        <v>5.1662451964850302E-2</v>
      </c>
      <c r="F87" s="218"/>
      <c r="H87" s="239">
        <f>H86*Exchange_Rate/Dashboard!G3</f>
        <v>5.1662451964850302E-2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4.829E-2</v>
      </c>
      <c r="D88" s="171">
        <f>C88/C86</f>
        <v>0.97067227017832514</v>
      </c>
      <c r="E88" s="204">
        <f>H88</f>
        <v>4.829E-2</v>
      </c>
      <c r="F88" s="171">
        <f>E88/E86</f>
        <v>0.97067227017832514</v>
      </c>
      <c r="H88" s="176">
        <f>Inputs!F6</f>
        <v>4.829E-2</v>
      </c>
      <c r="I88" s="171">
        <f>H88/H86</f>
        <v>0.97067227017832514</v>
      </c>
      <c r="K88" s="24"/>
    </row>
    <row r="89" spans="1:11" ht="15" customHeight="1" x14ac:dyDescent="0.4">
      <c r="B89" s="87" t="s">
        <v>245</v>
      </c>
      <c r="C89" s="165">
        <f>C88*Exchange_Rate/Dashboard!G3</f>
        <v>5.0147309531699921E-2</v>
      </c>
      <c r="D89" s="218"/>
      <c r="E89" s="165">
        <f>E88*Exchange_Rate/Dashboard!G3</f>
        <v>5.0147309531699921E-2</v>
      </c>
      <c r="F89" s="218"/>
      <c r="H89" s="165">
        <f>H88*Exchange_Rate/Dashboard!G3</f>
        <v>5.0147309531699921E-2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225</v>
      </c>
      <c r="F92" s="253"/>
      <c r="G92" s="87"/>
      <c r="H92" s="253" t="s">
        <v>224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0.79997504071797243</v>
      </c>
      <c r="H93" s="87" t="s">
        <v>228</v>
      </c>
      <c r="I93" s="146">
        <f>FV(H87,D93,0,-(H86/C93))</f>
        <v>0.79997504071797243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0.77093602217258594</v>
      </c>
      <c r="H94" s="87" t="s">
        <v>229</v>
      </c>
      <c r="I94" s="146">
        <f>FV(H89,D93,0,-(H88/C93))</f>
        <v>0.77093602217258594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103493.95541889031</v>
      </c>
      <c r="E97" s="124">
        <f>PV(C94,D93,0,-F93)*Exchange_Rate</f>
        <v>0.42954729738942032</v>
      </c>
      <c r="F97" s="124">
        <f>PV(C93,D93,0,-F93)*Exchange_Rate</f>
        <v>0.58800553641976805</v>
      </c>
      <c r="H97" s="124">
        <f>PV(C93,D93,0,-I93)*Exchange_Rate</f>
        <v>0.58800553641976805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103493.95541889031</v>
      </c>
      <c r="E100" s="110">
        <f>MAX(E97-H98+F99,0)</f>
        <v>0.42954729738942032</v>
      </c>
      <c r="F100" s="110">
        <f>MAX(F97-H98+F99,0)</f>
        <v>0.58800553641976805</v>
      </c>
      <c r="H100" s="110">
        <f>MAX(C100*Data!$C$4/Common_Shares,0)</f>
        <v>0.58800553641976805</v>
      </c>
      <c r="I100" s="110">
        <f>H100*1.25</f>
        <v>0.73500692052471006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99737.134596021569</v>
      </c>
      <c r="E103" s="110">
        <f>PV(C94,D93,0,-F94)*Exchange_Rate</f>
        <v>0.41395477099782568</v>
      </c>
      <c r="F103" s="124">
        <f>PV(C93,D93,0,-F94)*Exchange_Rate</f>
        <v>0.56666099089299915</v>
      </c>
      <c r="H103" s="124">
        <f>PV(C93,D93,0,-I94)*Exchange_Rate</f>
        <v>0.56666099089299915</v>
      </c>
      <c r="I103" s="110">
        <f>H103*1.25</f>
        <v>0.70832623861624899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101615.54500745595</v>
      </c>
      <c r="E106" s="110">
        <f>(E100+E103)/2</f>
        <v>0.42175103419362303</v>
      </c>
      <c r="F106" s="124">
        <f>(F100+F103)/2</f>
        <v>0.5773332636563836</v>
      </c>
      <c r="H106" s="124">
        <f>(H100+H103)/2</f>
        <v>0.5773332636563836</v>
      </c>
      <c r="I106" s="110">
        <f>H106*1.25</f>
        <v>0.72166657957047953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