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C689B8E6-A9F2-4FD6-850A-C3929C0C994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105" i="3" l="1"/>
  <c r="F105" i="3"/>
  <c r="F5" i="4"/>
  <c r="F4" i="4" l="1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<sst xmlns="http://schemas.openxmlformats.org/spreadsheetml/2006/main" count="348" uniqueCount="249">
  <si>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</si>
  <si>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</si>
  <si>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</si>
  <si>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</si>
  <si>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</si>
  <si>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</si>
  <si>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</si>
  <si>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</si>
  <si>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</si>
  <si>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</si>
  <si>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</si>
  <si>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</si>
  <si>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</si>
  <si>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</si>
  <si>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</si>
  <si>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</si>
  <si>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</si>
  <si>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</si>
  <si>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</si>
  <si>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</si>
  <si>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</si>
  <si>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</si>
  <si>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</si>
  <si>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</si>
  <si>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</si>
  <si>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</si>
  <si>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</si>
  <si>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</si>
  <si>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</si>
  <si>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</si>
  <si>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</si>
  <si>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</si>
  <si>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</si>
  <si>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</si>
  <si>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</si>
  <si>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</si>
  <si>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</si>
  <si>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</si>
  <si>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</si>
  <si>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</si>
  <si>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</si>
  <si>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</si>
  <si>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</si>
  <si>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</si>
  <si>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</si>
  <si>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</si>
  <si>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</si>
  <si>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</si>
  <si>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</si>
  <si>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</si>
  <si>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</si>
  <si>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</si>
  <si>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</si>
  <si>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</si>
  <si>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</si>
  <si>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</si>
  <si>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</si>
  <si>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</si>
  <si>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</si>
  <si>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</si>
  <si>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</si>
  <si>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</si>
  <si>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</si>
  <si>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</si>
  <si>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</si>
  <si>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</si>
  <si>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</si>
  <si>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</si>
  <si>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</si>
  <si>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</si>
  <si>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</si>
  <si>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</si>
  <si>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</si>
  <si>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</si>
  <si>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</si>
  <si>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</si>
  <si>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</si>
  <si>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</si>
  <si>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</si>
  <si>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</si>
  <si>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</si>
  <si>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</si>
  <si>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</si>
  <si>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</si>
  <si>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</si>
  <si>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</si>
  <si>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</si>
  <si>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</si>
  <si>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</si>
  <si>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</si>
  <si>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</si>
  <si>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</si>
  <si>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</si>
  <si>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</si>
  <si>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</si>
  <si>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</si>
  <si>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</si>
  <si>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</si>
  <si>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</si>
  <si>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</si>
  <si>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</si>
  <si>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</si>
  <si>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</si>
  <si>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</si>
  <si>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</si>
  <si>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</si>
  <si>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</si>
  <si>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</si>
  <si>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</si>
  <si>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</si>
  <si>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</si>
  <si>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</si>
  <si>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</si>
  <si>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</si>
  <si>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</si>
  <si>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</si>
  <si>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</si>
  <si>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</si>
  <si>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</si>
  <si>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</si>
  <si>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</si>
  <si>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</si>
  <si>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</si>
  <si>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</si>
  <si>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</si>
  <si>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</si>
  <si>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</si>
  <si>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</si>
  <si>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</si>
  <si>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</si>
  <si>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</si>
  <si>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</si>
  <si>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</si>
  <si>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</si>
  <si>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</si>
  <si>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</si>
  <si>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</si>
  <si>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</si>
  <si>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</si>
  <si>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</si>
  <si>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</si>
  <si>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</si>
  <si>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</si>
  <si>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</si>
  <si>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</si>
  <si>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</si>
  <si>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</si>
  <si>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</si>
  <si>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</si>
  <si>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</si>
  <si>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</si>
  <si>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</si>
  <si>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</si>
  <si>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</si>
  <si>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</si>
  <si>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</si>
  <si>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</si>
  <si>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</si>
  <si>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</si>
  <si>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</si>
  <si>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</si>
  <si>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</si>
  <si>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</si>
  <si>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</si>
  <si>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</si>
  <si>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</si>
  <si>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</si>
  <si>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</si>
  <si>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</si>
  <si>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</si>
  <si>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</si>
  <si>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</si>
  <si>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</si>
  <si>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</si>
  <si>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</si>
  <si>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</si>
  <si>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</si>
  <si>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</si>
  <si>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</si>
  <si>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</si>
  <si>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</si>
  <si>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</si>
  <si>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</si>
  <si>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</si>
  <si>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</si>
  <si>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</si>
  <si>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</si>
  <si>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</si>
  <si>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</si>
  <si>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</si>
  <si>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</si>
  <si>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</si>
  <si>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</si>
  <si>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</si>
  <si>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</si>
  <si>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</si>
  <si>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</si>
  <si>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</si>
  <si>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</si>
  <si>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</si>
  <si>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</si>
  <si>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</si>
  <si>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</si>
  <si>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</si>
  <si>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</si>
  <si>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</si>
  <si>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</si>
  <si>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</si>
  <si>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</si>
  <si>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</si>
  <si>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</si>
  <si>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</si>
  <si>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</si>
  <si>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</si>
  <si>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</si>
  <si>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</si>
  <si>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</si>
  <si>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</si>
  <si>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</si>
  <si>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</si>
  <si>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</si>
  <si>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</si>
  <si>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</si>
  <si>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</si>
  <si>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</si>
  <si>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</si>
  <si>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</si>
  <si>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</si>
  <si>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</si>
  <si>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</si>
  <si>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</si>
  <si>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</si>
  <si>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</si>
  <si>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</si>
  <si>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</si>
  <si>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</si>
  <si>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</si>
  <si>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</si>
  <si>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</si>
  <si>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</si>
  <si>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</si>
  <si>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</si>
  <si>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</si>
  <si>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</si>
  <si>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D/P Dividend Yield</t>
    <phoneticPr fontId="20" type="noConversion"/>
  </si>
  <si>
    <t>0857.HK</t>
    <phoneticPr fontId="20" type="noConversion"/>
  </si>
  <si>
    <t>中國石油股份</t>
    <phoneticPr fontId="20" type="noConversion"/>
  </si>
  <si>
    <t>C0013</t>
    <phoneticPr fontId="20" type="noConversion"/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</si>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</sst>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7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4" sqref="D1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0857.HK</v>
      </c>
      <c r="D3" s="246"/>
      <c r="E3" s="87"/>
      <c r="F3" s="3" t="s">
        <v>1</v>
      </c>
      <c r="G3" s="133">
        <v>5.55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中國石油股份</v>
      </c>
      <c r="D4" s="248"/>
      <c r="E4" s="87"/>
      <c r="F4" s="3" t="s">
        <v>3</v>
      </c>
      <c r="G4" s="251">
        <f>Inputs!C10</f>
        <v>183020977818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45605</v>
      </c>
      <c r="D5" s="250"/>
      <c r="E5" s="34"/>
      <c r="F5" s="35" t="s">
        <v>102</v>
      </c>
      <c r="G5" s="243">
        <f>G3*G4/1000000</f>
        <v>1015766.4268899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C0013</v>
      </c>
      <c r="E7" s="87"/>
      <c r="F7" s="35" t="s">
        <v>6</v>
      </c>
      <c r="G7" s="134">
        <v>1.08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7.0000000000000007E-2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0.08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0.86263355974668987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-4.0574066127933066E-2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7.9916652607163307E-3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0.10112081917973094</v>
      </c>
      <c r="F23" s="141" t="s">
        <v>204</v>
      </c>
      <c r="G23" s="183">
        <f>G3/(Data!C36*Data!C4/Common_Shares*Exchange_Rate)</f>
        <v>0.56045215742694499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0.14876885669738665</v>
      </c>
    </row>
    <row r="25" spans="1:8" ht="15.75" customHeight="1" x14ac:dyDescent="0.4">
      <c r="B25" s="138" t="s">
        <v>208</v>
      </c>
      <c r="C25" s="177">
        <f>Fin_Analysis!I82</f>
        <v>6.8684548583665562E-3</v>
      </c>
      <c r="F25" s="141" t="s">
        <v>188</v>
      </c>
      <c r="G25" s="177">
        <f>Fin_Analysis!I88</f>
        <v>0.58861491249939701</v>
      </c>
    </row>
    <row r="26" spans="1:8" ht="15.75" customHeight="1" x14ac:dyDescent="0.4">
      <c r="B26" s="139" t="s">
        <v>187</v>
      </c>
      <c r="C26" s="177">
        <f>Fin_Analysis!I83</f>
        <v>6.1959567082429431E-2</v>
      </c>
      <c r="F26" s="142" t="s">
        <v>210</v>
      </c>
      <c r="G26" s="184">
        <f>Fin_Analysis!H88*Exchange_Rate/G3</f>
        <v>8.7567567567567575E-2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5.3089163298864017</v>
      </c>
      <c r="D29" s="130">
        <f>IF(Fin_Analysis!C108="Profit",Fin_Analysis!I100,IF(Fin_Analysis!C108="Dividend",Fin_Analysis!I103,Fin_Analysis!I106))</f>
        <v>10.317933180387392</v>
      </c>
      <c r="E29" s="87"/>
      <c r="F29" s="132">
        <f>IF(Fin_Analysis!C108="Profit",Fin_Analysis!F100,IF(Fin_Analysis!C108="Dividend",Fin_Analysis!F103,Fin_Analysis!F106))</f>
        <v>8.0500473309313101</v>
      </c>
      <c r="G29" s="242">
        <f>IF(Fin_Analysis!C108="Profit",Fin_Analysis!H100,IF(Fin_Analysis!C108="Dividend",Fin_Analysis!H103,Fin_Analysis!H106))</f>
        <v>8.2543465443099144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6" sqref="F6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245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57" t="s">
        <v>246</v>
      </c>
      <c r="E5" s="231">
        <f>C18</f>
        <v>45291</v>
      </c>
      <c r="F5" s="232">
        <f>0.22+0.23</f>
        <v>0.45</v>
      </c>
    </row>
    <row r="6" spans="1:6" ht="13.9" x14ac:dyDescent="0.4">
      <c r="B6" s="142" t="s">
        <v>175</v>
      </c>
      <c r="C6" s="196">
        <v>45605</v>
      </c>
      <c r="E6" s="233" t="s">
        <v>224</v>
      </c>
      <c r="F6" s="232">
        <f>F5</f>
        <v>0.45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46</v>
      </c>
    </row>
    <row r="9" spans="1:6" ht="13.9" x14ac:dyDescent="0.4">
      <c r="B9" s="141" t="s">
        <v>236</v>
      </c>
      <c r="C9" s="199" t="s">
        <v>247</v>
      </c>
    </row>
    <row r="10" spans="1:6" ht="13.9" x14ac:dyDescent="0.4">
      <c r="B10" s="141" t="s">
        <v>237</v>
      </c>
      <c r="C10" s="200">
        <v>183020977818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3011012</v>
      </c>
      <c r="D19" s="152">
        <v>3239167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2597400</v>
      </c>
      <c r="D20" s="153">
        <v>2804756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125283</v>
      </c>
      <c r="D21" s="153">
        <v>118875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>
        <v>247452</v>
      </c>
      <c r="D22" s="153">
        <v>238036</v>
      </c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>
        <v>21957</v>
      </c>
      <c r="D23" s="153">
        <v>20016</v>
      </c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>
        <v>282519</v>
      </c>
      <c r="D24" s="153">
        <v>243752</v>
      </c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>
        <v>-13105</v>
      </c>
      <c r="D25" s="153">
        <v>46237</v>
      </c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24063</v>
      </c>
      <c r="D26" s="153">
        <v>21554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20681</v>
      </c>
      <c r="D27" s="153">
        <v>20705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238880</v>
      </c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>
        <v>142879</v>
      </c>
      <c r="D42" s="60">
        <f>D43</f>
        <v>0.6</v>
      </c>
      <c r="E42" s="113"/>
    </row>
    <row r="43" spans="2:13" ht="13.9" x14ac:dyDescent="0.4">
      <c r="B43" s="3" t="s">
        <v>42</v>
      </c>
      <c r="C43" s="59">
        <v>9895</v>
      </c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>
        <v>11851</v>
      </c>
      <c r="D45" s="60">
        <f>D42</f>
        <v>0.6</v>
      </c>
      <c r="E45" s="113"/>
    </row>
    <row r="46" spans="2:13" ht="13.9" x14ac:dyDescent="0.4">
      <c r="B46" s="3" t="s">
        <v>122</v>
      </c>
      <c r="C46" s="59">
        <v>24847</v>
      </c>
      <c r="D46" s="60">
        <v>0.1</v>
      </c>
      <c r="E46" s="113"/>
    </row>
    <row r="47" spans="2:13" ht="13.9" x14ac:dyDescent="0.4">
      <c r="B47" s="3" t="s">
        <v>47</v>
      </c>
      <c r="C47" s="59">
        <v>182674</v>
      </c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>
        <v>61345</v>
      </c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>
        <v>693</v>
      </c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>
        <v>292606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201156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1413348</v>
      </c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>
        <v>91529</v>
      </c>
      <c r="D62" s="60">
        <v>0.05</v>
      </c>
      <c r="E62" s="113"/>
    </row>
    <row r="63" spans="2:5" ht="13.9" x14ac:dyDescent="0.4">
      <c r="B63" s="3" t="s">
        <v>75</v>
      </c>
      <c r="C63" s="59">
        <v>24707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71887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40594</v>
      </c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>
        <v>11824</v>
      </c>
    </row>
    <row r="70" spans="2:3" ht="14.25" thickBot="1" x14ac:dyDescent="0.45">
      <c r="B70" s="80" t="s">
        <v>16</v>
      </c>
      <c r="C70" s="83">
        <v>716641</v>
      </c>
    </row>
    <row r="71" spans="2:3" ht="14.25" thickTop="1" x14ac:dyDescent="0.4">
      <c r="B71" s="3" t="s">
        <v>62</v>
      </c>
      <c r="C71" s="59">
        <v>70126</v>
      </c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>
        <v>11000</v>
      </c>
    </row>
    <row r="75" spans="2:3" ht="14.25" thickBot="1" x14ac:dyDescent="0.45">
      <c r="B75" s="80" t="s">
        <v>85</v>
      </c>
      <c r="C75" s="83">
        <v>373503</v>
      </c>
    </row>
    <row r="76" spans="2:3" ht="14.25" thickTop="1" x14ac:dyDescent="0.4">
      <c r="B76" s="73" t="s">
        <v>241</v>
      </c>
      <c r="C76" s="59">
        <v>1489904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236691.33333333334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3011012</v>
      </c>
      <c r="D6" s="209">
        <f>IF(Inputs!D19="","",Inputs!D19)</f>
        <v>3239167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-7.0436318967191269E-2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2597400</v>
      </c>
      <c r="D8" s="208">
        <f>IF(Inputs!D20="","",Inputs!D20)</f>
        <v>2804756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413612</v>
      </c>
      <c r="D9" s="154">
        <f t="shared" si="2"/>
        <v>434411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125283</v>
      </c>
      <c r="D10" s="208">
        <f>IF(Inputs!D21="","",Inputs!D21)</f>
        <v>118875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>
        <f>IF(OR(C6="",C12=""),"",C12/C6)</f>
        <v>8.2182336038514631E-2</v>
      </c>
      <c r="D11" s="155">
        <f t="shared" ref="D11:M11" si="3">IF(OR(D6="",D12=""),"",D12/D6)</f>
        <v>7.3486794598734792E-2</v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>
        <f>IF(Inputs!C22="","",Inputs!C22)</f>
        <v>247452</v>
      </c>
      <c r="D12" s="208">
        <f>IF(Inputs!D22="","",Inputs!D22)</f>
        <v>238036</v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535781</v>
      </c>
      <c r="D13" s="154">
        <f t="shared" ref="D13:M13" si="4">IF(D6="","",(D9-D10+MAX(D12,0)))</f>
        <v>553572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>
        <f>IF(Inputs!C23="","",Inputs!C23)</f>
        <v>21957</v>
      </c>
      <c r="D14" s="208">
        <f>IF(Inputs!D23="","",Inputs!D23)</f>
        <v>20016</v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>
        <f>IF(Inputs!C24="","",Inputs!C24)</f>
        <v>282519</v>
      </c>
      <c r="D15" s="208">
        <f>IF(Inputs!D24="","",Inputs!D24)</f>
        <v>243752</v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>
        <f>IF(Inputs!C25="","",Inputs!C25)</f>
        <v>-13105</v>
      </c>
      <c r="D16" s="208">
        <f>IF(Inputs!D25="","",Inputs!D25)</f>
        <v>46237</v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24063</v>
      </c>
      <c r="D17" s="208">
        <f>IF(Inputs!D26="","",Inputs!D26)</f>
        <v>21554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20681</v>
      </c>
      <c r="D18" s="208">
        <f>IF(Inputs!D27="","",Inputs!D27)</f>
        <v>20705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236691.33333333334</v>
      </c>
      <c r="D19" s="237">
        <f>IF(D6="","",D9-D10-MAX(D17,0)-MAX(D18,0)/(1-Fin_Analysis!$I$84))</f>
        <v>266375.33333333331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-0.11143674464352295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179667.33333333334</v>
      </c>
      <c r="D21" s="77">
        <f>IF(D6="","",D13-MAX(D14,0)-MAX(D15,0)-MAX(D16,0)-MAX(D17,0)-MAX(D18,0)/(1-Fin_Analysis!$I$84))</f>
        <v>194406.33333333334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-7.5815431253097032E-2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4.4752561597230435E-2</v>
      </c>
      <c r="D23" s="157">
        <f t="shared" si="7"/>
        <v>4.5013038846098398E-2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134750.5</v>
      </c>
      <c r="D24" s="77">
        <f>IF(D6="","",D21*(1-Fin_Analysis!$I$84))</f>
        <v>145804.75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-7.5815431253097032E-2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2768297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672371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142879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182674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716641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373503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52418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81126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133544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1678153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188249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541381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2226916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8.0679887940691669E-2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0.86263355974668987</v>
      </c>
      <c r="D42" s="161">
        <f t="shared" si="33"/>
        <v>0.86588805084764076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-4.0574066127933066E-2</v>
      </c>
      <c r="D43" s="157">
        <f t="shared" ref="D43:M43" si="34">IF(D6="","",(D10-MAX(D12,0))/D6)</f>
        <v>-3.6787544452014979E-2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0.10112081917973094</v>
      </c>
      <c r="D44" s="157">
        <f t="shared" ref="D44:M44" si="35">IF(D6="","",(MAX(D14,0)+MAX(D15,0))/D6)</f>
        <v>8.1430812304521497E-2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1.4274348929832885E-2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7.9916652607163307E-3</v>
      </c>
      <c r="D46" s="157">
        <f t="shared" ref="D46:M46" si="37">IF(D6="","",MAX(D17,0)/D6)</f>
        <v>6.6541799172441553E-3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9.1579398111554088E-3</v>
      </c>
      <c r="D47" s="157">
        <f>IF(D6="","",MAX(D18,0)/(1-Fin_Analysis!$I$84)/D6)</f>
        <v>8.522767324644475E-3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5.9670082129640582E-2</v>
      </c>
      <c r="D48" s="157">
        <f t="shared" si="38"/>
        <v>6.00173851281312E-2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4.7452152299625509E-2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6.0668638982508204E-2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0.39379589689979072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1.3453793007048864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0.13393085739941596</v>
      </c>
      <c r="D55" s="157">
        <f t="shared" ref="D55:M55" si="43">IF(D21="","",IF(MAX(D17,0)&lt;=0,"-",D17/D21))</f>
        <v>0.11087087354835833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0.93822569459464367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8" zoomScaleNormal="100" workbookViewId="0">
      <selection activeCell="D112" sqref="D11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1678153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1489904</v>
      </c>
      <c r="K3" s="24"/>
    </row>
    <row r="4" spans="1:11" ht="15" customHeight="1" x14ac:dyDescent="0.4">
      <c r="B4" s="3" t="s">
        <v>25</v>
      </c>
      <c r="C4" s="87"/>
      <c r="D4" s="65">
        <f>D3-I3</f>
        <v>188249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0.93822569459464367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-701856.14399999997</v>
      </c>
      <c r="E6" s="56">
        <f>1-D6/D3</f>
        <v>1.4182313197902694</v>
      </c>
      <c r="F6" s="87"/>
      <c r="G6" s="87"/>
      <c r="H6" s="1" t="s">
        <v>30</v>
      </c>
      <c r="I6" s="63">
        <f>(C24+C25)/I28</f>
        <v>0.59772187189959824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0.54651352629838368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238880</v>
      </c>
      <c r="D11" s="207">
        <f>Inputs!D40</f>
        <v>0.9</v>
      </c>
      <c r="E11" s="88">
        <f t="shared" ref="E11:E22" si="0">C11*D11</f>
        <v>214992</v>
      </c>
      <c r="F11" s="113"/>
      <c r="G11" s="87"/>
      <c r="H11" s="3" t="s">
        <v>39</v>
      </c>
      <c r="I11" s="40">
        <f>Inputs!C66</f>
        <v>40594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142879</v>
      </c>
      <c r="D13" s="207">
        <f>Inputs!D42</f>
        <v>0.6</v>
      </c>
      <c r="E13" s="88">
        <f t="shared" si="0"/>
        <v>85727.4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9895</v>
      </c>
      <c r="D14" s="207">
        <f>Inputs!D43</f>
        <v>0.6</v>
      </c>
      <c r="E14" s="88">
        <f t="shared" si="0"/>
        <v>5937</v>
      </c>
      <c r="F14" s="113"/>
      <c r="G14" s="87"/>
      <c r="H14" s="86" t="s">
        <v>43</v>
      </c>
      <c r="I14" s="214">
        <f>Inputs!C69</f>
        <v>11824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52418</v>
      </c>
      <c r="J15" s="87"/>
    </row>
    <row r="16" spans="1:11" ht="13.9" x14ac:dyDescent="0.4">
      <c r="B16" s="1" t="s">
        <v>170</v>
      </c>
      <c r="C16" s="40">
        <f>Inputs!C45</f>
        <v>11851</v>
      </c>
      <c r="D16" s="207">
        <f>Inputs!D45</f>
        <v>0.6</v>
      </c>
      <c r="E16" s="88">
        <f t="shared" si="0"/>
        <v>7110.5999999999995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24847</v>
      </c>
      <c r="D17" s="207">
        <f>Inputs!D46</f>
        <v>0.1</v>
      </c>
      <c r="E17" s="88">
        <f t="shared" si="0"/>
        <v>2484.7000000000003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182674</v>
      </c>
      <c r="D18" s="207">
        <f>Inputs!D47</f>
        <v>0.5</v>
      </c>
      <c r="E18" s="88">
        <f t="shared" si="0"/>
        <v>91337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61345</v>
      </c>
      <c r="D22" s="207">
        <f>Inputs!D51</f>
        <v>0.05</v>
      </c>
      <c r="E22" s="88">
        <f t="shared" si="0"/>
        <v>3067.25</v>
      </c>
      <c r="F22" s="113"/>
      <c r="G22" s="87"/>
      <c r="H22" s="3" t="s">
        <v>45</v>
      </c>
      <c r="I22" s="52">
        <f>I28-SUM(I11:I14)</f>
        <v>664223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391654</v>
      </c>
      <c r="D24" s="62">
        <f>IF(E24=0,0,E24/C24)</f>
        <v>0.78297783247458219</v>
      </c>
      <c r="E24" s="88">
        <f>SUM(E11:E14)</f>
        <v>306656.40000000002</v>
      </c>
      <c r="F24" s="114">
        <f>E24/$E$28</f>
        <v>0.74674773371723946</v>
      </c>
      <c r="G24" s="87"/>
    </row>
    <row r="25" spans="2:10" ht="15" customHeight="1" x14ac:dyDescent="0.4">
      <c r="B25" s="23" t="s">
        <v>55</v>
      </c>
      <c r="C25" s="61">
        <f>SUM(C15:C17)</f>
        <v>36698</v>
      </c>
      <c r="D25" s="62">
        <f>IF(E25=0,0,E25/C25)</f>
        <v>0.26146656493541881</v>
      </c>
      <c r="E25" s="88">
        <f>SUM(E15:E17)</f>
        <v>9595.2999999999993</v>
      </c>
      <c r="F25" s="114">
        <f>E25/$E$28</f>
        <v>2.3365788319881883E-2</v>
      </c>
      <c r="G25" s="87"/>
      <c r="H25" s="23" t="s">
        <v>56</v>
      </c>
      <c r="I25" s="63">
        <f>E28/I28</f>
        <v>0.57302882475325867</v>
      </c>
    </row>
    <row r="26" spans="2:10" ht="15" customHeight="1" x14ac:dyDescent="0.4">
      <c r="B26" s="23" t="s">
        <v>57</v>
      </c>
      <c r="C26" s="61">
        <f>C18+C19+C20</f>
        <v>182674</v>
      </c>
      <c r="D26" s="62">
        <f>IF(E26=0,0,E26/C26)</f>
        <v>0.5</v>
      </c>
      <c r="E26" s="88">
        <f>E18+E19+E20</f>
        <v>91337</v>
      </c>
      <c r="F26" s="114">
        <f>E26/$E$28</f>
        <v>0.22241733012756784</v>
      </c>
      <c r="G26" s="87"/>
      <c r="H26" s="23" t="s">
        <v>58</v>
      </c>
      <c r="I26" s="63">
        <f>E24/($I$28-I22)</f>
        <v>5.8502117593193184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61345</v>
      </c>
      <c r="D27" s="62">
        <f>IF(E27=0,0,E27/C27)</f>
        <v>0.05</v>
      </c>
      <c r="E27" s="88">
        <f>E21+E22</f>
        <v>3067.25</v>
      </c>
      <c r="F27" s="114">
        <f>E27/$E$28</f>
        <v>7.4691478353107995E-3</v>
      </c>
      <c r="G27" s="87"/>
      <c r="H27" s="23" t="s">
        <v>60</v>
      </c>
      <c r="I27" s="63">
        <f>(E25+E24)/$I$28</f>
        <v>0.44129724645952439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672371</v>
      </c>
      <c r="D28" s="57">
        <f>E28/C28</f>
        <v>0.61075797439211388</v>
      </c>
      <c r="E28" s="70">
        <f>SUM(E24:E27)</f>
        <v>410655.95</v>
      </c>
      <c r="F28" s="113"/>
      <c r="G28" s="87"/>
      <c r="H28" s="78" t="s">
        <v>16</v>
      </c>
      <c r="I28" s="215">
        <f>Inputs!C70</f>
        <v>716641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70126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693</v>
      </c>
      <c r="D33" s="207">
        <f>Inputs!D55</f>
        <v>0.5</v>
      </c>
      <c r="E33" s="88">
        <f t="shared" si="1"/>
        <v>346.5</v>
      </c>
      <c r="F33" s="113"/>
      <c r="G33" s="30">
        <f>IF(F33="Y",0,1)</f>
        <v>1</v>
      </c>
      <c r="H33" s="86" t="s">
        <v>67</v>
      </c>
      <c r="I33" s="214">
        <f>Inputs!C74</f>
        <v>11000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81126</v>
      </c>
      <c r="J34" s="87"/>
    </row>
    <row r="35" spans="2:10" ht="13.9" x14ac:dyDescent="0.4">
      <c r="B35" s="3" t="s">
        <v>70</v>
      </c>
      <c r="C35" s="40">
        <f>Inputs!C57</f>
        <v>292606</v>
      </c>
      <c r="D35" s="207">
        <f>Inputs!D57</f>
        <v>0.1</v>
      </c>
      <c r="E35" s="88">
        <f t="shared" si="1"/>
        <v>29260.600000000002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201156</v>
      </c>
      <c r="D37" s="207">
        <f>Inputs!D59</f>
        <v>0.1</v>
      </c>
      <c r="E37" s="88">
        <f t="shared" si="1"/>
        <v>20115.600000000002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1413348</v>
      </c>
      <c r="D38" s="207">
        <f>Inputs!D60</f>
        <v>0.1</v>
      </c>
      <c r="E38" s="88">
        <f t="shared" si="1"/>
        <v>141334.80000000002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91529</v>
      </c>
      <c r="D40" s="207">
        <f>Inputs!D62</f>
        <v>0.05</v>
      </c>
      <c r="E40" s="88">
        <f t="shared" si="1"/>
        <v>4576.45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24707</v>
      </c>
      <c r="D41" s="207">
        <f>Inputs!D63</f>
        <v>0.9</v>
      </c>
      <c r="E41" s="88">
        <f t="shared" si="1"/>
        <v>22236.3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71887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292377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293299</v>
      </c>
      <c r="D45" s="62">
        <f>IF(E45=0,0,E45/C45)</f>
        <v>0.10094511062090222</v>
      </c>
      <c r="E45" s="88">
        <f>SUM(E32:E35)</f>
        <v>29607.100000000002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1614504</v>
      </c>
      <c r="D46" s="62">
        <f>IF(E46=0,0,E46/C46)</f>
        <v>0.10000000000000002</v>
      </c>
      <c r="E46" s="88">
        <f>E36+E37+E38+E39</f>
        <v>161450.40000000002</v>
      </c>
      <c r="F46" s="87"/>
      <c r="G46" s="87"/>
      <c r="H46" s="23" t="s">
        <v>81</v>
      </c>
      <c r="I46" s="63">
        <f>(E44+E24)/E64</f>
        <v>2.296294854130474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188123</v>
      </c>
      <c r="D47" s="62">
        <f>IF(E47=0,0,E47/C47)</f>
        <v>0.14252776109247672</v>
      </c>
      <c r="E47" s="88">
        <f>E40+E41+E42</f>
        <v>26812.75</v>
      </c>
      <c r="F47" s="87"/>
      <c r="G47" s="87"/>
      <c r="H47" s="23" t="s">
        <v>83</v>
      </c>
      <c r="I47" s="63">
        <f>(E44+E45+E24+E25)/$I$49</f>
        <v>0.31725973816303166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84</v>
      </c>
      <c r="C48" s="81">
        <f>SUM(C30:C42)</f>
        <v>2095926</v>
      </c>
      <c r="D48" s="82">
        <f>E48/C48</f>
        <v>0.10394939993110446</v>
      </c>
      <c r="E48" s="76">
        <f>SUM(E30:E42)</f>
        <v>217870.25000000003</v>
      </c>
      <c r="F48" s="87"/>
      <c r="G48" s="87"/>
      <c r="H48" s="80" t="s">
        <v>85</v>
      </c>
      <c r="I48" s="216">
        <f>Inputs!C75</f>
        <v>373503</v>
      </c>
      <c r="J48" s="8"/>
    </row>
    <row r="49" spans="2:11" ht="15" customHeight="1" thickTop="1" x14ac:dyDescent="0.4">
      <c r="B49" s="3" t="s">
        <v>14</v>
      </c>
      <c r="C49" s="61">
        <f>C28+C48</f>
        <v>2768297</v>
      </c>
      <c r="D49" s="56">
        <f>E49/C49</f>
        <v>0.22704435253876304</v>
      </c>
      <c r="E49" s="88">
        <f>E28+E48</f>
        <v>628526.20000000007</v>
      </c>
      <c r="F49" s="87"/>
      <c r="G49" s="87"/>
      <c r="H49" s="3" t="s">
        <v>86</v>
      </c>
      <c r="I49" s="52">
        <f>I28+I48</f>
        <v>1090144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188249</v>
      </c>
      <c r="D53" s="29">
        <f>IF(E53=0, 0,E53/C53)</f>
        <v>1</v>
      </c>
      <c r="E53" s="88">
        <f>IF(C53=0,0,MAX(C53,C53*Dashboard!G23))</f>
        <v>188249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133544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302501</v>
      </c>
      <c r="D61" s="56">
        <f t="shared" ref="D61:D70" si="2">IF(E61=0,0,E61/C61)</f>
        <v>0.11635531783366007</v>
      </c>
      <c r="E61" s="52">
        <f>E14+E15+(E19*G19)+(E20*G20)+E31+E32+(E35*G35)+(E36*G36)+(E37*G37)</f>
        <v>35197.600000000006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238880</v>
      </c>
      <c r="D62" s="108">
        <f t="shared" si="2"/>
        <v>0.9</v>
      </c>
      <c r="E62" s="119">
        <f>E11+E30</f>
        <v>214992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541381</v>
      </c>
      <c r="D63" s="29">
        <f t="shared" si="2"/>
        <v>0.46213221372748581</v>
      </c>
      <c r="E63" s="61">
        <f>E61+E62</f>
        <v>250189.6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133544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407837</v>
      </c>
      <c r="D65" s="29">
        <f t="shared" si="2"/>
        <v>0.28601034236717121</v>
      </c>
      <c r="E65" s="61">
        <f>E63-E64</f>
        <v>116645.6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2226916</v>
      </c>
      <c r="D68" s="29">
        <f t="shared" si="2"/>
        <v>0.16989262280211742</v>
      </c>
      <c r="E68" s="68">
        <f>E49-E63</f>
        <v>378336.60000000009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956600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1270316</v>
      </c>
      <c r="D70" s="29">
        <f t="shared" si="2"/>
        <v>-0.45521224640168267</v>
      </c>
      <c r="E70" s="68">
        <f>E68-E69</f>
        <v>-578263.39999999991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225</v>
      </c>
      <c r="F72" s="253"/>
      <c r="H72" s="253" t="s">
        <v>224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3011012</v>
      </c>
      <c r="D74" s="218"/>
      <c r="E74" s="205">
        <f>H74</f>
        <v>3011012</v>
      </c>
      <c r="F74" s="218"/>
      <c r="H74" s="205">
        <f>C74</f>
        <v>3011012</v>
      </c>
      <c r="I74" s="218"/>
      <c r="K74" s="24"/>
    </row>
    <row r="75" spans="1:11" ht="15" customHeight="1" x14ac:dyDescent="0.4">
      <c r="B75" s="105" t="s">
        <v>109</v>
      </c>
      <c r="C75" s="77">
        <f>Data!C8</f>
        <v>2597400</v>
      </c>
      <c r="D75" s="164">
        <f>C75/$C$74</f>
        <v>0.86263355974668987</v>
      </c>
      <c r="E75" s="186">
        <f>E74*F75</f>
        <v>2597400</v>
      </c>
      <c r="F75" s="165">
        <f>I75</f>
        <v>0.86263355974668987</v>
      </c>
      <c r="H75" s="205">
        <f>D75*H74</f>
        <v>2597400</v>
      </c>
      <c r="I75" s="165">
        <f>H75/$H$74</f>
        <v>0.86263355974668987</v>
      </c>
      <c r="K75" s="24"/>
    </row>
    <row r="76" spans="1:11" ht="15" customHeight="1" x14ac:dyDescent="0.4">
      <c r="B76" s="35" t="s">
        <v>96</v>
      </c>
      <c r="C76" s="166">
        <f>C74-C75</f>
        <v>413612</v>
      </c>
      <c r="D76" s="219"/>
      <c r="E76" s="167">
        <f>E74-E75</f>
        <v>413612</v>
      </c>
      <c r="F76" s="219"/>
      <c r="H76" s="167">
        <f>H74-H75</f>
        <v>413612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-122169</v>
      </c>
      <c r="D77" s="164">
        <f>C77/$C$74</f>
        <v>-4.0574066127933066E-2</v>
      </c>
      <c r="E77" s="186">
        <f>E74*F77</f>
        <v>-122169</v>
      </c>
      <c r="F77" s="165">
        <f>I77</f>
        <v>-4.0574066127933066E-2</v>
      </c>
      <c r="H77" s="205">
        <f>D77*H74</f>
        <v>-122169</v>
      </c>
      <c r="I77" s="165">
        <f>H77/$H$74</f>
        <v>-4.0574066127933066E-2</v>
      </c>
      <c r="K77" s="24"/>
    </row>
    <row r="78" spans="1:11" ht="15" customHeight="1" x14ac:dyDescent="0.4">
      <c r="B78" s="35" t="s">
        <v>97</v>
      </c>
      <c r="C78" s="166">
        <f>C76-C77</f>
        <v>535781</v>
      </c>
      <c r="D78" s="219"/>
      <c r="E78" s="167">
        <f>E76-E77</f>
        <v>535781</v>
      </c>
      <c r="F78" s="219"/>
      <c r="H78" s="167">
        <f>H76-H77</f>
        <v>535781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24063</v>
      </c>
      <c r="D79" s="164">
        <f>C79/$C$74</f>
        <v>7.9916652607163307E-3</v>
      </c>
      <c r="E79" s="186">
        <f>E74*F79</f>
        <v>24063</v>
      </c>
      <c r="F79" s="165">
        <f t="shared" ref="F79:F84" si="3">I79</f>
        <v>7.9916652607163307E-3</v>
      </c>
      <c r="H79" s="205">
        <f>C79</f>
        <v>24063</v>
      </c>
      <c r="I79" s="165">
        <f>H79/$H$74</f>
        <v>7.9916652607163307E-3</v>
      </c>
      <c r="K79" s="24"/>
    </row>
    <row r="80" spans="1:11" ht="15" customHeight="1" x14ac:dyDescent="0.4">
      <c r="B80" s="28" t="s">
        <v>135</v>
      </c>
      <c r="C80" s="77">
        <f>MAX(Data!C14,0)+MAX(Data!C15,0)</f>
        <v>304476</v>
      </c>
      <c r="D80" s="164">
        <f>C80/$C$74</f>
        <v>0.10112081917973094</v>
      </c>
      <c r="E80" s="186">
        <f>E74*F80</f>
        <v>304476</v>
      </c>
      <c r="F80" s="165">
        <f t="shared" si="3"/>
        <v>0.10112081917973094</v>
      </c>
      <c r="H80" s="205">
        <f>H74*D80</f>
        <v>304476</v>
      </c>
      <c r="I80" s="165">
        <f>H80/$H$74</f>
        <v>0.10112081917973094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20681</v>
      </c>
      <c r="D82" s="164">
        <f>C82/$C$74</f>
        <v>6.8684548583665562E-3</v>
      </c>
      <c r="E82" s="186">
        <f>E74*F82</f>
        <v>20681</v>
      </c>
      <c r="F82" s="165">
        <f t="shared" si="3"/>
        <v>6.8684548583665562E-3</v>
      </c>
      <c r="H82" s="205">
        <f>H74*D82</f>
        <v>20681</v>
      </c>
      <c r="I82" s="165">
        <f>H82/$H$74</f>
        <v>6.8684548583665562E-3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186561</v>
      </c>
      <c r="D83" s="169">
        <f>C83/$C$74</f>
        <v>6.1959567082429431E-2</v>
      </c>
      <c r="E83" s="170">
        <f>E78-E79-E80-E81-E82</f>
        <v>186561</v>
      </c>
      <c r="F83" s="169">
        <f>E83/E74</f>
        <v>6.1959567082429431E-2</v>
      </c>
      <c r="H83" s="170">
        <f>H78-H79-H80-H81-H82</f>
        <v>186561</v>
      </c>
      <c r="I83" s="169">
        <f>H83/$H$74</f>
        <v>6.1959567082429431E-2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139920.75</v>
      </c>
      <c r="D85" s="171">
        <f>C85/$C$74</f>
        <v>4.646967531182207E-2</v>
      </c>
      <c r="E85" s="172">
        <f>E83*(1-F84)</f>
        <v>139920.75</v>
      </c>
      <c r="F85" s="171">
        <f>E85/E74</f>
        <v>4.646967531182207E-2</v>
      </c>
      <c r="H85" s="172">
        <f>H83*(1-I84)</f>
        <v>139920.75</v>
      </c>
      <c r="I85" s="171">
        <f>H85/$H$74</f>
        <v>4.646967531182207E-2</v>
      </c>
      <c r="K85" s="24"/>
    </row>
    <row r="86" spans="1:11" ht="15" customHeight="1" x14ac:dyDescent="0.4">
      <c r="B86" s="87" t="s">
        <v>172</v>
      </c>
      <c r="C86" s="173">
        <f>C85*Data!C4/Common_Shares</f>
        <v>0.7645066246949036</v>
      </c>
      <c r="D86" s="218"/>
      <c r="E86" s="174">
        <f>E85*Data!C4/Common_Shares</f>
        <v>0.7645066246949036</v>
      </c>
      <c r="F86" s="218"/>
      <c r="H86" s="174">
        <f>H85*Data!C4/Common_Shares</f>
        <v>0.7645066246949036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0.14876885669738665</v>
      </c>
      <c r="D87" s="218"/>
      <c r="E87" s="239">
        <f>E86*Exchange_Rate/Dashboard!G3</f>
        <v>0.14876885669738665</v>
      </c>
      <c r="F87" s="218"/>
      <c r="H87" s="239">
        <f>H86*Exchange_Rate/Dashboard!G3</f>
        <v>0.14876885669738665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0.45</v>
      </c>
      <c r="D88" s="171">
        <f>C88/C86</f>
        <v>0.58861491249939701</v>
      </c>
      <c r="E88" s="204">
        <f>H88</f>
        <v>0.45</v>
      </c>
      <c r="F88" s="171">
        <f>E88/E86</f>
        <v>0.58861491249939701</v>
      </c>
      <c r="H88" s="176">
        <f>Inputs!F6</f>
        <v>0.45</v>
      </c>
      <c r="I88" s="171">
        <f>H88/H86</f>
        <v>0.58861491249939701</v>
      </c>
      <c r="K88" s="24"/>
    </row>
    <row r="89" spans="1:11" ht="15" customHeight="1" x14ac:dyDescent="0.4">
      <c r="B89" s="87" t="s">
        <v>244</v>
      </c>
      <c r="C89" s="165">
        <f>C88*Exchange_Rate/Dashboard!G3</f>
        <v>8.7567567567567575E-2</v>
      </c>
      <c r="D89" s="218"/>
      <c r="E89" s="165">
        <f>E88*Exchange_Rate/Dashboard!G3</f>
        <v>8.7567567567567575E-2</v>
      </c>
      <c r="F89" s="218"/>
      <c r="H89" s="165">
        <f>H88*Exchange_Rate/Dashboard!G3</f>
        <v>8.7567567567567575E-2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225</v>
      </c>
      <c r="F92" s="253"/>
      <c r="G92" s="87"/>
      <c r="H92" s="253" t="s">
        <v>224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0.08</v>
      </c>
      <c r="D93" s="206">
        <v>5</v>
      </c>
      <c r="E93" s="87" t="s">
        <v>228</v>
      </c>
      <c r="F93" s="146">
        <f>FV(E87,D93,0,-(E86/C93))</f>
        <v>19.118531564825062</v>
      </c>
      <c r="H93" s="87" t="s">
        <v>228</v>
      </c>
      <c r="I93" s="146">
        <f>FV(H87,D93,0,-(H86/C93))</f>
        <v>19.118531564825062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8.5586204418210379</v>
      </c>
      <c r="H94" s="87" t="s">
        <v>229</v>
      </c>
      <c r="I94" s="146">
        <f>FV(H89,D93,0,-(H88/C93))</f>
        <v>8.5586204418210379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2571937.3286487972</v>
      </c>
      <c r="E97" s="124">
        <f>PV(C94,D93,0,-F93)*Exchange_Rate</f>
        <v>10.265712235664793</v>
      </c>
      <c r="F97" s="124">
        <f>PV(C93,D93,0,-F93)*Exchange_Rate</f>
        <v>14.052691441777712</v>
      </c>
      <c r="H97" s="124">
        <f>PV(C93,D93,0,-I93)*Exchange_Rate</f>
        <v>14.052691441777712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203308.92</v>
      </c>
      <c r="E98" s="222"/>
      <c r="F98" s="222"/>
      <c r="H98" s="124">
        <f>C98*Data!$C$4/Common_Shares</f>
        <v>1.1108503649356238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-498547.22399999993</v>
      </c>
      <c r="E99" s="223"/>
      <c r="F99" s="148">
        <f>IF(H99&gt;0,H99*0.85,H99*1.15)</f>
        <v>-3.1325879384718998</v>
      </c>
      <c r="H99" s="148">
        <f>C99*Data!$C$4/Common_Shares</f>
        <v>-2.7239895117146955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1870081.1846487974</v>
      </c>
      <c r="E100" s="110">
        <f>MAX(E97-H98+F99,0)</f>
        <v>6.0222739322572689</v>
      </c>
      <c r="F100" s="110">
        <f>MAX(F97-H98+F99,0)</f>
        <v>9.8092531383701882</v>
      </c>
      <c r="H100" s="110">
        <f>MAX(C100*Data!$C$4/Common_Shares,0)</f>
        <v>10.217851565127393</v>
      </c>
      <c r="I100" s="110">
        <f>H100*1.25</f>
        <v>12.772314456409241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1151355.966927662</v>
      </c>
      <c r="E103" s="110">
        <f>PV(C94,D93,0,-F94)*Exchange_Rate</f>
        <v>4.5955587275155345</v>
      </c>
      <c r="F103" s="124">
        <f>PV(C93,D93,0,-F94)*Exchange_Rate</f>
        <v>6.2908415234924338</v>
      </c>
      <c r="H103" s="124">
        <f>PV(C93,D93,0,-I94)*Exchange_Rate</f>
        <v>6.2908415234924338</v>
      </c>
      <c r="I103" s="110">
        <f>H103*1.25</f>
        <v>7.8635519043655417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1473327.5339882295</v>
      </c>
      <c r="E106" s="110">
        <f>(E100+E103)/2</f>
        <v>5.3089163298864017</v>
      </c>
      <c r="F106" s="124">
        <f>(F100+F103)/2</f>
        <v>8.0500473309313101</v>
      </c>
      <c r="H106" s="124">
        <f>(H100+H103)/2</f>
        <v>8.2543465443099144</v>
      </c>
      <c r="I106" s="110">
        <f>H106*1.25</f>
        <v>10.317933180387392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248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2024-11-13T15:12:32Z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