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9D087218-DF9F-4A84-94F0-02C156F7DB7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5" i="4" l="1"/>
  <c r="F4" i="4" l="1"/>
  <c r="F36" i="3"/>
  <c r="F37" i="3"/>
  <c r="F35" i="3"/>
  <c r="F20" i="3"/>
  <c r="F19" i="3"/>
  <c r="F6" i="4" l="1"/>
  <c r="D42" i="4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D46" i="2" s="1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I7" i="2" l="1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<sst xmlns="http://schemas.openxmlformats.org/spreadsheetml/2006/main" count="350" uniqueCount="250">
  <si>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</si>
  <si>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</si>
  <si>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</si>
  <si>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</si>
  <si>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</si>
  <si>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</si>
  <si>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</si>
  <si>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</si>
  <si>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</si>
  <si>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</si>
  <si>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</si>
  <si>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</si>
  <si>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</si>
  <si>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</si>
  <si>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</si>
  <si>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</si>
  <si>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</si>
  <si>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</si>
  <si>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</si>
  <si>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</si>
  <si>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</si>
  <si>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</si>
  <si>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</si>
  <si>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</si>
  <si>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</si>
  <si>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</si>
  <si>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</si>
  <si>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</si>
  <si>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</si>
  <si>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</si>
  <si>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</si>
  <si>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</si>
  <si>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</si>
  <si>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</si>
  <si>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</si>
  <si>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</si>
  <si>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</si>
  <si>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</si>
  <si>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</si>
  <si>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</si>
  <si>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</si>
  <si>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</si>
  <si>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</si>
  <si>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</si>
  <si>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</si>
  <si>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</si>
  <si>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</si>
  <si>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</si>
  <si>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</si>
  <si>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</si>
  <si>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</si>
  <si>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</si>
  <si>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</si>
  <si>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</si>
  <si>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</si>
  <si>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</si>
  <si>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</si>
  <si>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</si>
  <si>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</si>
  <si>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</si>
  <si>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</si>
  <si>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</si>
  <si>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</si>
  <si>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</si>
  <si>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</si>
  <si>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</si>
  <si>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</si>
  <si>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</si>
  <si>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</si>
  <si>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</si>
  <si>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</si>
  <si>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</si>
  <si>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</si>
  <si>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</si>
  <si>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</si>
  <si>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</si>
  <si>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</si>
  <si>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</si>
  <si>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</si>
  <si>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</si>
  <si>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</si>
  <si>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</si>
  <si>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</si>
  <si>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</si>
  <si>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</si>
  <si>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</si>
  <si>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</si>
  <si>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</si>
  <si>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</si>
  <si>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</si>
  <si>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</si>
  <si>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</si>
  <si>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</si>
  <si>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</si>
  <si>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</si>
  <si>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</si>
  <si>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</si>
  <si>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</si>
  <si>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</si>
  <si>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</si>
  <si>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</si>
  <si>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</si>
  <si>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</si>
  <si>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</si>
  <si>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</si>
  <si>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</si>
  <si>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</si>
  <si>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</si>
  <si>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</si>
  <si>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</si>
  <si>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</si>
  <si>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</si>
  <si>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</si>
  <si>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</si>
  <si>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</si>
  <si>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</si>
  <si>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</si>
  <si>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</si>
  <si>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</si>
  <si>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</si>
  <si>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</si>
  <si>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</si>
  <si>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</si>
  <si>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</si>
  <si>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</si>
  <si>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</si>
  <si>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</si>
  <si>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</si>
  <si>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</si>
  <si>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</si>
  <si>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</si>
  <si>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</si>
  <si>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</si>
  <si>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</si>
  <si>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</si>
  <si>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</si>
  <si>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</si>
  <si>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</si>
  <si>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</si>
  <si>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</si>
  <si>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</si>
  <si>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</si>
  <si>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</si>
  <si>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</si>
  <si>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</si>
  <si>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</si>
  <si>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</si>
  <si>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</si>
  <si>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</si>
  <si>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</si>
  <si>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</si>
  <si>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</si>
  <si>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</si>
  <si>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</si>
  <si>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</si>
  <si>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</si>
  <si>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</si>
  <si>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</si>
  <si>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</si>
  <si>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</si>
  <si>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</si>
  <si>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</si>
  <si>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</si>
  <si>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</si>
  <si>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</si>
  <si>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</si>
  <si>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</si>
  <si>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</si>
  <si>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</si>
  <si>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</si>
  <si>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</si>
  <si>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</si>
  <si>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</si>
  <si>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</si>
  <si>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</si>
  <si>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</si>
  <si>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</si>
  <si>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</si>
  <si>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</si>
  <si>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</si>
  <si>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</si>
  <si>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</si>
  <si>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</si>
  <si>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</si>
  <si>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</si>
  <si>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</si>
  <si>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</si>
  <si>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</si>
  <si>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</si>
  <si>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</si>
  <si>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</si>
  <si>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</si>
  <si>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</si>
  <si>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</si>
  <si>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</si>
  <si>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</si>
  <si>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</si>
  <si>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</si>
  <si>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</si>
  <si>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</si>
  <si>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</si>
  <si>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</si>
  <si>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</si>
  <si>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</si>
  <si>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</si>
  <si>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</si>
  <si>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</si>
  <si>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</si>
  <si>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</si>
  <si>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</si>
  <si>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</si>
  <si>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</si>
  <si>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</si>
  <si>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</si>
  <si>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</si>
  <si>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</si>
  <si>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</si>
  <si>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</si>
  <si>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</si>
  <si>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</si>
  <si>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</si>
  <si>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</si>
  <si>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</si>
  <si>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</si>
  <si>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</si>
  <si>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</si>
  <si>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</si>
  <si>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</si>
  <si>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</si>
  <si>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</si>
  <si>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</si>
  <si>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</si>
  <si>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</si>
  <si>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</si>
  <si>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</si>
  <si>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</si>
  <si>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</si>
  <si>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</si>
  <si>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</si>
  <si>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</si>
  <si>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</si>
  <si>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</si>
  <si>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</si>
  <si>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</si>
  <si>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</si>
  <si>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D/P Dividend Yield</t>
    <phoneticPr fontId="20" type="noConversion"/>
  </si>
  <si>
    <t>0941.HK</t>
    <phoneticPr fontId="20" type="noConversion"/>
  </si>
  <si>
    <t>中国移动</t>
    <phoneticPr fontId="20" type="noConversion"/>
  </si>
  <si>
    <t>C0010</t>
    <phoneticPr fontId="20" type="noConversion"/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</si>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</sst>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  <xf numFmtId="0" fontId="27" fillId="9" borderId="14" xfId="0" applyFont="1" applyFill="1" applyBorder="1" applyAlignment="1">
      <alignment horizontal="right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E6" sqref="E6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0941.HK : 中国移动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5" t="str">
        <f>Inputs!C4</f>
        <v>0941.HK</v>
      </c>
      <c r="D3" s="246"/>
      <c r="E3" s="87"/>
      <c r="F3" s="3" t="s">
        <v>1</v>
      </c>
      <c r="G3" s="133">
        <v>70.099998474121094</v>
      </c>
      <c r="H3" s="135" t="s">
        <v>2</v>
      </c>
    </row>
    <row r="4" spans="1:10" ht="15.75" customHeight="1" x14ac:dyDescent="0.4">
      <c r="B4" s="35" t="s">
        <v>212</v>
      </c>
      <c r="C4" s="247" t="str">
        <f>Inputs!C5</f>
        <v>中国移动</v>
      </c>
      <c r="D4" s="248"/>
      <c r="E4" s="87"/>
      <c r="F4" s="3" t="s">
        <v>3</v>
      </c>
      <c r="G4" s="251">
        <f>Inputs!C10</f>
        <v>21481669957</v>
      </c>
      <c r="H4" s="251"/>
      <c r="I4" s="39"/>
    </row>
    <row r="5" spans="1:10" ht="15.75" customHeight="1" x14ac:dyDescent="0.4">
      <c r="B5" s="3" t="s">
        <v>175</v>
      </c>
      <c r="C5" s="249">
        <f>Inputs!C6</f>
        <v>45603</v>
      </c>
      <c r="D5" s="250"/>
      <c r="E5" s="34"/>
      <c r="F5" s="35" t="s">
        <v>102</v>
      </c>
      <c r="G5" s="243">
        <f>G3*G4/1000000</f>
        <v>1505865.031207273</v>
      </c>
      <c r="H5" s="243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4" t="str">
        <f>Inputs!C11</f>
        <v>CNY</v>
      </c>
      <c r="H6" s="244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C0010</v>
      </c>
      <c r="E7" s="87"/>
      <c r="F7" s="35" t="s">
        <v>6</v>
      </c>
      <c r="G7" s="134">
        <v>1.08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7.0000000000000007E-2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0.08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0.66167150000644004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3.6955976811858409E-3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0.17959118565275847</v>
      </c>
      <c r="F23" s="141" t="s">
        <v>204</v>
      </c>
      <c r="G23" s="183">
        <f>G3/(Data!C36*Data!C4/Common_Shares*Exchange_Rate)</f>
        <v>1.007551634829646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8.4081878107289759E-2</v>
      </c>
    </row>
    <row r="25" spans="1:8" ht="15.75" customHeight="1" x14ac:dyDescent="0.4">
      <c r="B25" s="138" t="s">
        <v>208</v>
      </c>
      <c r="C25" s="177">
        <f>Fin_Analysis!I82</f>
        <v>1.6744128904032363E-4</v>
      </c>
      <c r="F25" s="141" t="s">
        <v>188</v>
      </c>
      <c r="G25" s="177">
        <f>Fin_Analysis!I88</f>
        <v>0.83334301427395785</v>
      </c>
    </row>
    <row r="26" spans="1:8" ht="15.75" customHeight="1" x14ac:dyDescent="0.4">
      <c r="B26" s="139" t="s">
        <v>187</v>
      </c>
      <c r="C26" s="177">
        <f>Fin_Analysis!I83</f>
        <v>0.15487427537057533</v>
      </c>
      <c r="F26" s="142" t="s">
        <v>210</v>
      </c>
      <c r="G26" s="184">
        <f>Fin_Analysis!H88*Exchange_Rate/G3</f>
        <v>7.0069045747744363E-2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1" t="str">
        <f>Fin_Analysis!H96</f>
        <v>Base Case</v>
      </c>
      <c r="H28" s="241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48.168284876174702</v>
      </c>
      <c r="D29" s="130">
        <f>IF(Fin_Analysis!C108="Profit",Fin_Analysis!I100,IF(Fin_Analysis!C108="Dividend",Fin_Analysis!I103,Fin_Analysis!I106))</f>
        <v>82.821385033856785</v>
      </c>
      <c r="E29" s="87"/>
      <c r="F29" s="132">
        <f>IF(Fin_Analysis!C108="Profit",Fin_Analysis!F100,IF(Fin_Analysis!C108="Dividend",Fin_Analysis!F103,Fin_Analysis!F106))</f>
        <v>66.184141486162986</v>
      </c>
      <c r="G29" s="242">
        <f>IF(Fin_Analysis!C108="Profit",Fin_Analysis!H100,IF(Fin_Analysis!C108="Dividend",Fin_Analysis!H103,Fin_Analysis!H106))</f>
        <v>66.257108027085422</v>
      </c>
      <c r="H29" s="242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6" sqref="F6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246</v>
      </c>
      <c r="E4" s="240" t="s">
        <v>227</v>
      </c>
      <c r="F4" s="12" t="str">
        <f>C11</f>
        <v>CNY</v>
      </c>
    </row>
    <row r="5" spans="1:6" ht="15" x14ac:dyDescent="0.5">
      <c r="B5" s="142" t="s">
        <v>212</v>
      </c>
      <c r="C5" s="257" t="s">
        <v>247</v>
      </c>
      <c r="E5" s="231">
        <f>C18</f>
        <v>45291</v>
      </c>
      <c r="F5" s="232">
        <f>2.175+2.373</f>
        <v>4.548</v>
      </c>
    </row>
    <row r="6" spans="1:6" ht="13.9" x14ac:dyDescent="0.4">
      <c r="B6" s="142" t="s">
        <v>175</v>
      </c>
      <c r="C6" s="196">
        <v>45603</v>
      </c>
      <c r="E6" s="233" t="s">
        <v>225</v>
      </c>
      <c r="F6" s="232">
        <f>F5</f>
        <v>4.548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236</v>
      </c>
      <c r="C8" s="198" t="s">
        <v>46</v>
      </c>
    </row>
    <row r="9" spans="1:6" ht="13.9" x14ac:dyDescent="0.4">
      <c r="B9" s="141" t="s">
        <v>237</v>
      </c>
      <c r="C9" s="199" t="s">
        <v>248</v>
      </c>
    </row>
    <row r="10" spans="1:6" ht="13.9" x14ac:dyDescent="0.4">
      <c r="B10" s="141" t="s">
        <v>238</v>
      </c>
      <c r="C10" s="200">
        <v>21481669957</v>
      </c>
    </row>
    <row r="11" spans="1:6" ht="13.9" x14ac:dyDescent="0.4">
      <c r="B11" s="141" t="s">
        <v>239</v>
      </c>
      <c r="C11" s="199" t="s">
        <v>243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1000000</v>
      </c>
    </row>
    <row r="14" spans="1:6" ht="13.9" x14ac:dyDescent="0.4">
      <c r="B14" s="227" t="s">
        <v>241</v>
      </c>
      <c r="C14" s="228">
        <v>45473</v>
      </c>
    </row>
    <row r="15" spans="1:6" ht="13.9" x14ac:dyDescent="0.4">
      <c r="B15" s="227" t="s">
        <v>240</v>
      </c>
      <c r="C15" s="182" t="s">
        <v>244</v>
      </c>
    </row>
    <row r="16" spans="1:6" ht="13.9" x14ac:dyDescent="0.4">
      <c r="B16" s="234" t="s">
        <v>98</v>
      </c>
      <c r="C16" s="235">
        <v>0.25</v>
      </c>
      <c r="D16" s="24"/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1009309</v>
      </c>
      <c r="D19" s="152">
        <v>937259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0</v>
      </c>
      <c r="D20" s="153">
        <v>0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874963</v>
      </c>
      <c r="D21" s="153">
        <v>808160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>
        <v>207132</v>
      </c>
      <c r="D22" s="153">
        <v>200077</v>
      </c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>
        <v>181263</v>
      </c>
      <c r="D24" s="153">
        <v>189588</v>
      </c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>
        <v>22422</v>
      </c>
      <c r="D25" s="153">
        <v>22811</v>
      </c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3730</v>
      </c>
      <c r="D26" s="153">
        <v>2330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169</v>
      </c>
      <c r="D27" s="153">
        <v>135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>
        <v>498104</v>
      </c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>
        <v>68428</v>
      </c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>
        <v>12026</v>
      </c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>
        <v>558565</v>
      </c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>
        <v>88107</v>
      </c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>
        <v>35175</v>
      </c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>
        <v>67759</v>
      </c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>
        <v>1345985</v>
      </c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>
        <v>4253</v>
      </c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>
        <v>795161</v>
      </c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>
        <v>172891</v>
      </c>
      <c r="D40" s="60">
        <v>0.9</v>
      </c>
      <c r="E40" s="113"/>
    </row>
    <row r="41" spans="2:13" ht="13.9" x14ac:dyDescent="0.4">
      <c r="B41" s="1" t="s">
        <v>146</v>
      </c>
      <c r="C41" s="59"/>
      <c r="D41" s="60">
        <v>0.8</v>
      </c>
      <c r="E41" s="113"/>
    </row>
    <row r="42" spans="2:13" ht="13.9" x14ac:dyDescent="0.4">
      <c r="B42" s="3" t="s">
        <v>121</v>
      </c>
      <c r="C42" s="59">
        <v>100939</v>
      </c>
      <c r="D42" s="60">
        <f>D43</f>
        <v>0.6</v>
      </c>
      <c r="E42" s="113"/>
    </row>
    <row r="43" spans="2:13" ht="13.9" x14ac:dyDescent="0.4">
      <c r="B43" s="3" t="s">
        <v>42</v>
      </c>
      <c r="C43" s="59">
        <v>176336</v>
      </c>
      <c r="D43" s="60">
        <v>0.6</v>
      </c>
      <c r="E43" s="113"/>
    </row>
    <row r="44" spans="2:13" ht="13.9" x14ac:dyDescent="0.4">
      <c r="B44" s="3" t="s">
        <v>44</v>
      </c>
      <c r="C44" s="59">
        <v>19344</v>
      </c>
      <c r="D44" s="60">
        <v>0.5</v>
      </c>
      <c r="E44" s="113"/>
    </row>
    <row r="45" spans="2:13" ht="13.9" x14ac:dyDescent="0.4">
      <c r="B45" s="1" t="s">
        <v>170</v>
      </c>
      <c r="C45" s="59">
        <v>22728</v>
      </c>
      <c r="D45" s="60">
        <f>D42</f>
        <v>0.6</v>
      </c>
      <c r="E45" s="113"/>
    </row>
    <row r="46" spans="2:13" ht="13.9" x14ac:dyDescent="0.4">
      <c r="B46" s="3" t="s">
        <v>122</v>
      </c>
      <c r="C46" s="59">
        <v>28822</v>
      </c>
      <c r="D46" s="60">
        <v>0.1</v>
      </c>
      <c r="E46" s="113"/>
    </row>
    <row r="47" spans="2:13" ht="13.9" x14ac:dyDescent="0.4">
      <c r="B47" s="3" t="s">
        <v>47</v>
      </c>
      <c r="C47" s="59">
        <v>12616</v>
      </c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>
        <v>507</v>
      </c>
      <c r="D50" s="60">
        <f>D40</f>
        <v>0.9</v>
      </c>
      <c r="E50" s="113"/>
    </row>
    <row r="51" spans="2:5" ht="13.9" x14ac:dyDescent="0.4">
      <c r="B51" s="35" t="s">
        <v>51</v>
      </c>
      <c r="C51" s="121"/>
      <c r="D51" s="202">
        <f>D62</f>
        <v>0.05</v>
      </c>
      <c r="E51" s="113"/>
    </row>
    <row r="52" spans="2:5" ht="13.9" x14ac:dyDescent="0.4">
      <c r="B52" s="3" t="s">
        <v>61</v>
      </c>
      <c r="C52" s="59">
        <v>75495</v>
      </c>
      <c r="D52" s="60">
        <f>D41</f>
        <v>0.8</v>
      </c>
      <c r="E52" s="113"/>
    </row>
    <row r="53" spans="2:5" ht="13.9" x14ac:dyDescent="0.4">
      <c r="B53" s="3" t="s">
        <v>63</v>
      </c>
      <c r="C53" s="59">
        <v>182795</v>
      </c>
      <c r="D53" s="60">
        <f>D43</f>
        <v>0.6</v>
      </c>
      <c r="E53" s="113"/>
    </row>
    <row r="54" spans="2:5" ht="13.9" x14ac:dyDescent="0.4">
      <c r="B54" s="3" t="s">
        <v>65</v>
      </c>
      <c r="C54" s="59">
        <v>5625</v>
      </c>
      <c r="D54" s="60">
        <f>D44</f>
        <v>0.5</v>
      </c>
      <c r="E54" s="113"/>
    </row>
    <row r="55" spans="2:5" ht="13.9" x14ac:dyDescent="0.4">
      <c r="B55" s="1" t="s">
        <v>171</v>
      </c>
      <c r="C55" s="59"/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>
        <v>185013</v>
      </c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>
        <v>94862</v>
      </c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>
        <v>781712</v>
      </c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>
        <v>34291</v>
      </c>
      <c r="D62" s="60">
        <v>0.05</v>
      </c>
      <c r="E62" s="113"/>
    </row>
    <row r="63" spans="2:5" ht="13.9" x14ac:dyDescent="0.4">
      <c r="B63" s="3" t="s">
        <v>75</v>
      </c>
      <c r="C63" s="59">
        <v>47891</v>
      </c>
      <c r="D63" s="60">
        <f>D50</f>
        <v>0.9</v>
      </c>
      <c r="E63" s="113"/>
    </row>
    <row r="64" spans="2:5" ht="13.9" x14ac:dyDescent="0.4">
      <c r="B64" s="3" t="s">
        <v>76</v>
      </c>
      <c r="C64" s="59">
        <v>79740</v>
      </c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>
        <v>33448</v>
      </c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>
        <v>554255</v>
      </c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>
        <v>62222</v>
      </c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>
        <v>83483</v>
      </c>
    </row>
    <row r="76" spans="2:3" ht="14.25" thickTop="1" x14ac:dyDescent="0.4">
      <c r="B76" s="73" t="s">
        <v>242</v>
      </c>
      <c r="C76" s="59">
        <v>1379544</v>
      </c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130390.66666666667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1009309</v>
      </c>
      <c r="D6" s="209">
        <f>IF(Inputs!D19="","",Inputs!D19)</f>
        <v>937259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7.687309484358118E-2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0</v>
      </c>
      <c r="D8" s="208">
        <f>IF(Inputs!D20="","",Inputs!D20)</f>
        <v>0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1009309</v>
      </c>
      <c r="D9" s="154">
        <f t="shared" si="2"/>
        <v>937259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874963</v>
      </c>
      <c r="D10" s="208">
        <f>IF(Inputs!D21="","",Inputs!D21)</f>
        <v>808160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>
        <f>IF(OR(C6="",C12=""),"",C12/C6)</f>
        <v>0.20522159219822672</v>
      </c>
      <c r="D11" s="155">
        <f t="shared" ref="D11:M11" si="3">IF(OR(D6="",D12=""),"",D12/D6)</f>
        <v>0.21347034277611632</v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>
        <f>IF(Inputs!C22="","",Inputs!C22)</f>
        <v>207132</v>
      </c>
      <c r="D12" s="208">
        <f>IF(Inputs!D22="","",Inputs!D22)</f>
        <v>200077</v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341478</v>
      </c>
      <c r="D13" s="154">
        <f t="shared" ref="D13:M13" si="4">IF(D6="","",(D9-D10+MAX(D12,0)))</f>
        <v>329176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>
        <f>IF(Inputs!C24="","",Inputs!C24)</f>
        <v>181263</v>
      </c>
      <c r="D15" s="208">
        <f>IF(Inputs!D24="","",Inputs!D24)</f>
        <v>189588</v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>
        <f>IF(Inputs!C25="","",Inputs!C25)</f>
        <v>22422</v>
      </c>
      <c r="D16" s="208">
        <f>IF(Inputs!D25="","",Inputs!D25)</f>
        <v>22811</v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3730</v>
      </c>
      <c r="D17" s="208">
        <f>IF(Inputs!D26="","",Inputs!D26)</f>
        <v>2330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169</v>
      </c>
      <c r="D18" s="208">
        <f>IF(Inputs!D27="","",Inputs!D27)</f>
        <v>135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130390.66666666667</v>
      </c>
      <c r="D19" s="237">
        <f>IF(D6="","",D9-D10-MAX(D17,0)-MAX(D18,0)/(1-Fin_Analysis!$I$84))</f>
        <v>126589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3.0031571990194024E-2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133837.66666666666</v>
      </c>
      <c r="D21" s="77">
        <f>IF(D6="","",D13-MAX(D14,0)-MAX(D15,0)-MAX(D16,0)-MAX(D17,0)-MAX(D18,0)/(1-Fin_Analysis!$I$84))</f>
        <v>114267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0.17127137902164805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9.9452447169300975E-2</v>
      </c>
      <c r="D23" s="157">
        <f t="shared" si="7"/>
        <v>9.1437105431903032E-2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100378.25</v>
      </c>
      <c r="D24" s="77">
        <f>IF(D6="","",D21*(1-Fin_Analysis!$I$84))</f>
        <v>85700.25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0.17127137902164813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2021607</v>
      </c>
      <c r="D27" s="65">
        <f t="shared" ref="D27:M27" si="18">IF(D36="","",D36+D31+D32)</f>
        <v>1992657</v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534183</v>
      </c>
      <c r="D28" s="208">
        <f>IF(Inputs!D28="","",Inputs!D28)</f>
        <v>498104</v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100939</v>
      </c>
      <c r="D29" s="208">
        <f>IF(Inputs!D29="","",Inputs!D29)</f>
        <v>68428</v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12616</v>
      </c>
      <c r="D30" s="208">
        <f>IF(Inputs!D30="","",Inputs!D30)</f>
        <v>12026</v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554255</v>
      </c>
      <c r="D31" s="208">
        <f>IF(Inputs!D31="","",Inputs!D31)</f>
        <v>558565</v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83483</v>
      </c>
      <c r="D32" s="208">
        <f>IF(Inputs!D32="","",Inputs!D32)</f>
        <v>88107</v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33448</v>
      </c>
      <c r="D33" s="208">
        <f>IF(Inputs!D33="","",Inputs!D33)</f>
        <v>35175</v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62222</v>
      </c>
      <c r="D34" s="208">
        <f>IF(Inputs!D34="","",Inputs!D34)</f>
        <v>67759</v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95670</v>
      </c>
      <c r="D35" s="77">
        <f t="shared" ref="D35" si="20">IF(OR(D33="",D34=""),"",D33+D34)</f>
        <v>102934</v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1383869</v>
      </c>
      <c r="D36" s="208">
        <f>IF(Inputs!D35="","",Inputs!D35)</f>
        <v>1345985</v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4325</v>
      </c>
      <c r="D37" s="208">
        <f>IF(Inputs!D36="","",Inputs!D36)</f>
        <v>4253</v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817499</v>
      </c>
      <c r="D38" s="208">
        <f>IF(Inputs!D37="","",Inputs!D37)</f>
        <v>795161</v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1204108</v>
      </c>
      <c r="D39" s="65">
        <f>IF(D38="","",D27-D38)</f>
        <v>1197496</v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>
        <f t="shared" ref="C40" si="31">IF(C6="","",C21/C39)</f>
        <v>0.11115088236824824</v>
      </c>
      <c r="D40" s="160">
        <f>IF(D39="","",D21/D39)</f>
        <v>9.5421613099333946E-2</v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</v>
      </c>
      <c r="D42" s="161">
        <f t="shared" si="33"/>
        <v>0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0.66167150000644004</v>
      </c>
      <c r="D43" s="157">
        <f t="shared" ref="D43:M43" si="34">IF(D6="","",(D10-MAX(D12,0))/D6)</f>
        <v>0.64878864860193397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0.17959118565275847</v>
      </c>
      <c r="D44" s="157">
        <f t="shared" ref="D44:M44" si="35">IF(D6="","",(MAX(D14,0)+MAX(D15,0))/D6)</f>
        <v>0.20227919923948451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2.2215198715160572E-2</v>
      </c>
      <c r="D45" s="157">
        <f t="shared" si="36"/>
        <v>2.4337989819249534E-2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3.6955976811858409E-3</v>
      </c>
      <c r="D46" s="157">
        <f t="shared" ref="D46:M46" si="37">IF(D6="","",MAX(D17,0)/D6)</f>
        <v>2.4859723939700765E-3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2.2325505205376484E-4</v>
      </c>
      <c r="D47" s="157">
        <f>IF(D6="","",MAX(D18,0)/(1-Fin_Analysis!$I$84)/D6)</f>
        <v>1.9204936949125055E-4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0.13260326289240129</v>
      </c>
      <c r="D48" s="157">
        <f t="shared" si="38"/>
        <v>0.1219161405758707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0.10000802529255164</v>
      </c>
      <c r="D50" s="161">
        <f t="shared" ref="D50:M50" si="39">IF(D29="","",D29/D6)</f>
        <v>7.3008634753040522E-2</v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1.2499640843388893E-2</v>
      </c>
      <c r="D51" s="157">
        <f t="shared" ref="D51:M51" si="40">IF(D30="","",D30/D6)</f>
        <v>1.2831031763898772E-2</v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>
        <f>IF(C36="","",(C27-C36)/C27)</f>
        <v>0.31546091797268211</v>
      </c>
      <c r="D53" s="161">
        <f t="shared" ref="D53:M53" si="41">IF(D36="","",(D27-D36)/D27)</f>
        <v>0.32452750272625946</v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>
        <f>IF(OR(C21="",C35=""),"",IF(C35&lt;=0,"-",C21/C35))</f>
        <v>1.398951256053796</v>
      </c>
      <c r="D54" s="162">
        <f t="shared" ref="D54:M54" si="42">IF(OR(D21="",D35=""),"",IF(D35&lt;=0,"-",D21/D35))</f>
        <v>1.1100996755202364</v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2.7869583301163351E-2</v>
      </c>
      <c r="D55" s="157">
        <f t="shared" ref="D55:M55" si="43">IF(D21="","",IF(MAX(D17,0)&lt;=0,"-",D17/D21))</f>
        <v>2.0390838999886231E-2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>
        <f t="shared" ref="C56:M56" si="44">IF(C28="","",C28/C31)</f>
        <v>0.96378562214143304</v>
      </c>
      <c r="D56" s="163">
        <f t="shared" si="44"/>
        <v>0.89175655474295745</v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84" zoomScaleNormal="100" workbookViewId="0">
      <selection activeCell="D103" sqref="D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1383869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1379544</v>
      </c>
      <c r="K3" s="24"/>
    </row>
    <row r="4" spans="1:11" ht="15" customHeight="1" x14ac:dyDescent="0.4">
      <c r="B4" s="3" t="s">
        <v>25</v>
      </c>
      <c r="C4" s="87"/>
      <c r="D4" s="65">
        <f>D3-I3</f>
        <v>4325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0.96378562214143304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-25605.515686289302</v>
      </c>
      <c r="E6" s="56">
        <f>1-D6/D3</f>
        <v>1.0185028465022985</v>
      </c>
      <c r="F6" s="87"/>
      <c r="G6" s="87"/>
      <c r="H6" s="1" t="s">
        <v>30</v>
      </c>
      <c r="I6" s="63">
        <f>(C24+C25)/I28</f>
        <v>0.9401087946883655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>
        <f>C24/I28</f>
        <v>0.81220016057590816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172891</v>
      </c>
      <c r="D11" s="207">
        <f>Inputs!D40</f>
        <v>0.9</v>
      </c>
      <c r="E11" s="88">
        <f t="shared" ref="E11:E22" si="0">C11*D11</f>
        <v>155601.9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33448</v>
      </c>
      <c r="J12" s="87"/>
      <c r="K12" s="24"/>
    </row>
    <row r="13" spans="1:11" ht="13.9" x14ac:dyDescent="0.4">
      <c r="B13" s="3" t="s">
        <v>121</v>
      </c>
      <c r="C13" s="40">
        <f>Inputs!C42</f>
        <v>100939</v>
      </c>
      <c r="D13" s="207">
        <f>Inputs!D42</f>
        <v>0.6</v>
      </c>
      <c r="E13" s="88">
        <f t="shared" si="0"/>
        <v>60563.399999999994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176336</v>
      </c>
      <c r="D14" s="207">
        <f>Inputs!D43</f>
        <v>0.6</v>
      </c>
      <c r="E14" s="88">
        <f t="shared" si="0"/>
        <v>105801.59999999999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19344</v>
      </c>
      <c r="D15" s="207">
        <f>Inputs!D44</f>
        <v>0.5</v>
      </c>
      <c r="E15" s="88">
        <f t="shared" si="0"/>
        <v>9672</v>
      </c>
      <c r="F15" s="113"/>
      <c r="G15" s="87"/>
      <c r="H15" s="1" t="s">
        <v>54</v>
      </c>
      <c r="I15" s="84">
        <f>SUM(I11:I14)</f>
        <v>33448</v>
      </c>
      <c r="J15" s="87"/>
    </row>
    <row r="16" spans="1:11" ht="13.9" x14ac:dyDescent="0.4">
      <c r="B16" s="1" t="s">
        <v>170</v>
      </c>
      <c r="C16" s="40">
        <f>Inputs!C45</f>
        <v>22728</v>
      </c>
      <c r="D16" s="207">
        <f>Inputs!D45</f>
        <v>0.6</v>
      </c>
      <c r="E16" s="88">
        <f t="shared" si="0"/>
        <v>13636.8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28822</v>
      </c>
      <c r="D17" s="207">
        <f>Inputs!D46</f>
        <v>0.1</v>
      </c>
      <c r="E17" s="88">
        <f t="shared" si="0"/>
        <v>2882.2000000000003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12616</v>
      </c>
      <c r="D18" s="207">
        <f>Inputs!D47</f>
        <v>0.5</v>
      </c>
      <c r="E18" s="88">
        <f t="shared" si="0"/>
        <v>6308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507</v>
      </c>
      <c r="D21" s="207">
        <f>Inputs!D50</f>
        <v>0.9</v>
      </c>
      <c r="E21" s="88">
        <f t="shared" si="0"/>
        <v>456.3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520807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450166</v>
      </c>
      <c r="D24" s="62">
        <f>IF(E24=0,0,E24/C24)</f>
        <v>0.71521816396618132</v>
      </c>
      <c r="E24" s="88">
        <f>SUM(E11:E14)</f>
        <v>321966.89999999997</v>
      </c>
      <c r="F24" s="114">
        <f>E24/$E$28</f>
        <v>0.90714782000111571</v>
      </c>
      <c r="G24" s="87"/>
    </row>
    <row r="25" spans="2:10" ht="15" customHeight="1" x14ac:dyDescent="0.4">
      <c r="B25" s="23" t="s">
        <v>55</v>
      </c>
      <c r="C25" s="61">
        <f>SUM(C15:C17)</f>
        <v>70894</v>
      </c>
      <c r="D25" s="62">
        <f>IF(E25=0,0,E25/C25)</f>
        <v>0.36943888058227775</v>
      </c>
      <c r="E25" s="88">
        <f>SUM(E15:E17)</f>
        <v>26191</v>
      </c>
      <c r="F25" s="114">
        <f>E25/$E$28</f>
        <v>7.3793637028058551E-2</v>
      </c>
      <c r="G25" s="87"/>
      <c r="H25" s="23" t="s">
        <v>56</v>
      </c>
      <c r="I25" s="63">
        <f>E28/I28</f>
        <v>0.64035904051384285</v>
      </c>
    </row>
    <row r="26" spans="2:10" ht="15" customHeight="1" x14ac:dyDescent="0.4">
      <c r="B26" s="23" t="s">
        <v>57</v>
      </c>
      <c r="C26" s="61">
        <f>C18+C19+C20</f>
        <v>12616</v>
      </c>
      <c r="D26" s="62">
        <f>IF(E26=0,0,E26/C26)</f>
        <v>0.5</v>
      </c>
      <c r="E26" s="88">
        <f>E18+E19+E20</f>
        <v>6308</v>
      </c>
      <c r="F26" s="114">
        <f>E26/$E$28</f>
        <v>1.7772909105150371E-2</v>
      </c>
      <c r="G26" s="87"/>
      <c r="H26" s="23" t="s">
        <v>58</v>
      </c>
      <c r="I26" s="63">
        <f>E24/($I$28-I22)</f>
        <v>9.6258939248983495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507</v>
      </c>
      <c r="D27" s="62">
        <f>IF(E27=0,0,E27/C27)</f>
        <v>0.9</v>
      </c>
      <c r="E27" s="88">
        <f>E21+E22</f>
        <v>456.3</v>
      </c>
      <c r="F27" s="114">
        <f>E27/$E$28</f>
        <v>1.2856338656753511E-3</v>
      </c>
      <c r="G27" s="87"/>
      <c r="H27" s="23" t="s">
        <v>60</v>
      </c>
      <c r="I27" s="63">
        <f>(E25+E24)/$I$28</f>
        <v>0.62815473022345303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534183</v>
      </c>
      <c r="D28" s="57">
        <f>E28/C28</f>
        <v>0.66442061989992185</v>
      </c>
      <c r="E28" s="70">
        <f>SUM(E24:E27)</f>
        <v>354922.19999999995</v>
      </c>
      <c r="F28" s="113"/>
      <c r="G28" s="87"/>
      <c r="H28" s="78" t="s">
        <v>16</v>
      </c>
      <c r="I28" s="215">
        <f>Inputs!C70</f>
        <v>554255</v>
      </c>
      <c r="J28" s="32">
        <f>IF(J26="",1,0)+IF(J27="",1,0)+IF(J46="",1,0)+IF(J47="",1,0)</f>
        <v>3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75495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182795</v>
      </c>
      <c r="D31" s="207">
        <f>Inputs!D53</f>
        <v>0.6</v>
      </c>
      <c r="E31" s="88">
        <f t="shared" ref="E31:E42" si="1">C31*D31</f>
        <v>109677</v>
      </c>
      <c r="F31" s="113"/>
      <c r="G31" s="87"/>
      <c r="H31" s="3" t="s">
        <v>64</v>
      </c>
      <c r="I31" s="40">
        <f>Inputs!C72</f>
        <v>62222</v>
      </c>
      <c r="J31" s="87"/>
    </row>
    <row r="32" spans="2:10" ht="15" customHeight="1" x14ac:dyDescent="0.4">
      <c r="B32" s="3" t="s">
        <v>65</v>
      </c>
      <c r="C32" s="40">
        <f>Inputs!C54</f>
        <v>5625</v>
      </c>
      <c r="D32" s="207">
        <f>Inputs!D54</f>
        <v>0.5</v>
      </c>
      <c r="E32" s="88">
        <f t="shared" si="1"/>
        <v>2812.5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62222</v>
      </c>
      <c r="J34" s="87"/>
    </row>
    <row r="35" spans="2:10" ht="13.9" x14ac:dyDescent="0.4">
      <c r="B35" s="3" t="s">
        <v>70</v>
      </c>
      <c r="C35" s="40">
        <f>Inputs!C57</f>
        <v>185013</v>
      </c>
      <c r="D35" s="207">
        <f>Inputs!D57</f>
        <v>0.1</v>
      </c>
      <c r="E35" s="88">
        <f t="shared" si="1"/>
        <v>18501.3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94862</v>
      </c>
      <c r="D37" s="207">
        <f>Inputs!D59</f>
        <v>0.1</v>
      </c>
      <c r="E37" s="88">
        <f t="shared" si="1"/>
        <v>9486.2000000000007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781712</v>
      </c>
      <c r="D38" s="207">
        <f>Inputs!D60</f>
        <v>0.1</v>
      </c>
      <c r="E38" s="88">
        <f t="shared" si="1"/>
        <v>78171.199999999997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34291</v>
      </c>
      <c r="D40" s="207">
        <f>Inputs!D62</f>
        <v>0.05</v>
      </c>
      <c r="E40" s="88">
        <f t="shared" si="1"/>
        <v>1714.5500000000002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47891</v>
      </c>
      <c r="D41" s="207">
        <f>Inputs!D63</f>
        <v>0.9</v>
      </c>
      <c r="E41" s="88">
        <f t="shared" si="1"/>
        <v>43101.9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79740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21261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258290</v>
      </c>
      <c r="D44" s="62">
        <f>IF(E44=0,0,E44/C44)</f>
        <v>0.42462735684695496</v>
      </c>
      <c r="E44" s="88">
        <f>SUM(E30:E31)</f>
        <v>109677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190638</v>
      </c>
      <c r="D45" s="62">
        <f>IF(E45=0,0,E45/C45)</f>
        <v>0.11180247379850816</v>
      </c>
      <c r="E45" s="88">
        <f>SUM(E32:E35)</f>
        <v>21313.8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876574</v>
      </c>
      <c r="D46" s="62">
        <f>IF(E46=0,0,E46/C46)</f>
        <v>9.9999999999999992E-2</v>
      </c>
      <c r="E46" s="88">
        <f>E36+E37+E38+E39</f>
        <v>87657.4</v>
      </c>
      <c r="F46" s="87"/>
      <c r="G46" s="87"/>
      <c r="H46" s="23" t="s">
        <v>81</v>
      </c>
      <c r="I46" s="63">
        <f>(E44+E24)/E64</f>
        <v>4.5117999372844144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161922</v>
      </c>
      <c r="D47" s="62">
        <f>IF(E47=0,0,E47/C47)</f>
        <v>0.27677801657588225</v>
      </c>
      <c r="E47" s="88">
        <f>E40+E41+E42</f>
        <v>44816.450000000004</v>
      </c>
      <c r="F47" s="87"/>
      <c r="G47" s="87"/>
      <c r="H47" s="23" t="s">
        <v>83</v>
      </c>
      <c r="I47" s="63">
        <f>(E44+E45+E24+E25)/$I$49</f>
        <v>0.75132530913948981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1487424</v>
      </c>
      <c r="D48" s="82">
        <f>E48/C48</f>
        <v>0.17712814234542404</v>
      </c>
      <c r="E48" s="76">
        <f>SUM(E30:E42)</f>
        <v>263464.65000000002</v>
      </c>
      <c r="F48" s="87"/>
      <c r="G48" s="87"/>
      <c r="H48" s="80" t="s">
        <v>85</v>
      </c>
      <c r="I48" s="216">
        <f>Inputs!C75</f>
        <v>83483</v>
      </c>
      <c r="J48" s="8"/>
    </row>
    <row r="49" spans="2:11" ht="15" customHeight="1" thickTop="1" x14ac:dyDescent="0.4">
      <c r="B49" s="3" t="s">
        <v>14</v>
      </c>
      <c r="C49" s="61">
        <f>C28+C48</f>
        <v>2021607</v>
      </c>
      <c r="D49" s="56">
        <f>E49/C49</f>
        <v>0.30588875582642916</v>
      </c>
      <c r="E49" s="88">
        <f>E28+E48</f>
        <v>618386.85</v>
      </c>
      <c r="F49" s="87"/>
      <c r="G49" s="87"/>
      <c r="H49" s="3" t="s">
        <v>86</v>
      </c>
      <c r="I49" s="52">
        <f>I28+I48</f>
        <v>637738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4325</v>
      </c>
      <c r="D53" s="29">
        <f>IF(E53=0, 0,E53/C53)</f>
        <v>1.007551634829646</v>
      </c>
      <c r="E53" s="88">
        <f>IF(C53=0,0,MAX(C53,C53*Dashboard!G23))</f>
        <v>4357.6608206382189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2">
        <f>I15+I34</f>
        <v>95670</v>
      </c>
      <c r="E56" s="25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1">
        <f>Inputs!C77</f>
        <v>0</v>
      </c>
      <c r="E57" s="25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1">
        <f>Inputs!C78</f>
        <v>0</v>
      </c>
      <c r="E58" s="25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569113</v>
      </c>
      <c r="D61" s="56">
        <f t="shared" ref="D61:D70" si="2">IF(E61=0,0,E61/C61)</f>
        <v>0.43306759817470336</v>
      </c>
      <c r="E61" s="52">
        <f>E14+E15+(E19*G19)+(E20*G20)+E31+E32+(E35*G35)+(E36*G36)+(E37*G37)</f>
        <v>246464.39999999997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248386</v>
      </c>
      <c r="D62" s="108">
        <f t="shared" si="2"/>
        <v>0.62645197394378105</v>
      </c>
      <c r="E62" s="119">
        <f>E11+E30</f>
        <v>155601.9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817499</v>
      </c>
      <c r="D63" s="29">
        <f t="shared" si="2"/>
        <v>0.49182482180406328</v>
      </c>
      <c r="E63" s="61">
        <f>E61+E62</f>
        <v>402066.29999999993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95670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721829</v>
      </c>
      <c r="D65" s="29">
        <f t="shared" si="2"/>
        <v>0.42447213952334961</v>
      </c>
      <c r="E65" s="61">
        <f>E63-E64</f>
        <v>306396.29999999993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1204108</v>
      </c>
      <c r="D68" s="29">
        <f t="shared" si="2"/>
        <v>0.17965211592315644</v>
      </c>
      <c r="E68" s="68">
        <f>E49-E63</f>
        <v>216320.55000000005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542068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662040</v>
      </c>
      <c r="D70" s="29">
        <f t="shared" si="2"/>
        <v>-0.49203590417497423</v>
      </c>
      <c r="E70" s="68">
        <f>E68-E69</f>
        <v>-325747.44999999995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5">
        <f>Data!C5</f>
        <v>45291</v>
      </c>
      <c r="D72" s="255"/>
      <c r="E72" s="253" t="s">
        <v>226</v>
      </c>
      <c r="F72" s="253"/>
      <c r="H72" s="253" t="s">
        <v>225</v>
      </c>
      <c r="I72" s="253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54" t="s">
        <v>103</v>
      </c>
      <c r="D73" s="254"/>
      <c r="E73" s="256" t="s">
        <v>104</v>
      </c>
      <c r="F73" s="254"/>
      <c r="H73" s="256" t="s">
        <v>104</v>
      </c>
      <c r="I73" s="254"/>
      <c r="K73" s="24"/>
    </row>
    <row r="74" spans="1:11" ht="15" customHeight="1" x14ac:dyDescent="0.4">
      <c r="B74" s="3" t="s">
        <v>136</v>
      </c>
      <c r="C74" s="77">
        <f>Data!C6</f>
        <v>1009309</v>
      </c>
      <c r="D74" s="218"/>
      <c r="E74" s="205">
        <f>H74</f>
        <v>1009309</v>
      </c>
      <c r="F74" s="218"/>
      <c r="H74" s="205">
        <f>C74</f>
        <v>1009309</v>
      </c>
      <c r="I74" s="218"/>
      <c r="K74" s="24"/>
    </row>
    <row r="75" spans="1:11" ht="15" customHeight="1" x14ac:dyDescent="0.4">
      <c r="B75" s="105" t="s">
        <v>109</v>
      </c>
      <c r="C75" s="77">
        <f>Data!C8</f>
        <v>0</v>
      </c>
      <c r="D75" s="164">
        <f>C75/$C$74</f>
        <v>0</v>
      </c>
      <c r="E75" s="186">
        <f>E74*F75</f>
        <v>0</v>
      </c>
      <c r="F75" s="165">
        <f>I75</f>
        <v>0</v>
      </c>
      <c r="H75" s="205">
        <f>D75*H74</f>
        <v>0</v>
      </c>
      <c r="I75" s="165">
        <f>H75/$H$74</f>
        <v>0</v>
      </c>
      <c r="K75" s="24"/>
    </row>
    <row r="76" spans="1:11" ht="15" customHeight="1" x14ac:dyDescent="0.4">
      <c r="B76" s="35" t="s">
        <v>96</v>
      </c>
      <c r="C76" s="166">
        <f>C74-C75</f>
        <v>1009309</v>
      </c>
      <c r="D76" s="219"/>
      <c r="E76" s="167">
        <f>E74-E75</f>
        <v>1009309</v>
      </c>
      <c r="F76" s="219"/>
      <c r="H76" s="167">
        <f>H74-H75</f>
        <v>1009309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667831</v>
      </c>
      <c r="D77" s="164">
        <f>C77/$C$74</f>
        <v>0.66167150000644004</v>
      </c>
      <c r="E77" s="186">
        <f>E74*F77</f>
        <v>667831</v>
      </c>
      <c r="F77" s="165">
        <f>I77</f>
        <v>0.66167150000644004</v>
      </c>
      <c r="H77" s="205">
        <f>D77*H74</f>
        <v>667831</v>
      </c>
      <c r="I77" s="165">
        <f>H77/$H$74</f>
        <v>0.66167150000644004</v>
      </c>
      <c r="K77" s="24"/>
    </row>
    <row r="78" spans="1:11" ht="15" customHeight="1" x14ac:dyDescent="0.4">
      <c r="B78" s="35" t="s">
        <v>97</v>
      </c>
      <c r="C78" s="166">
        <f>C76-C77</f>
        <v>341478</v>
      </c>
      <c r="D78" s="219"/>
      <c r="E78" s="167">
        <f>E76-E77</f>
        <v>341478</v>
      </c>
      <c r="F78" s="219"/>
      <c r="H78" s="167">
        <f>H76-H77</f>
        <v>341478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3730</v>
      </c>
      <c r="D79" s="164">
        <f>C79/$C$74</f>
        <v>3.6955976811858409E-3</v>
      </c>
      <c r="E79" s="186">
        <f>E74*F79</f>
        <v>3730</v>
      </c>
      <c r="F79" s="165">
        <f t="shared" ref="F79:F84" si="3">I79</f>
        <v>3.6955976811858409E-3</v>
      </c>
      <c r="H79" s="205">
        <f>C79</f>
        <v>3730</v>
      </c>
      <c r="I79" s="165">
        <f>H79/$H$74</f>
        <v>3.6955976811858409E-3</v>
      </c>
      <c r="K79" s="24"/>
    </row>
    <row r="80" spans="1:11" ht="15" customHeight="1" x14ac:dyDescent="0.4">
      <c r="B80" s="28" t="s">
        <v>135</v>
      </c>
      <c r="C80" s="77">
        <f>MAX(Data!C14,0)+MAX(Data!C15,0)</f>
        <v>181263</v>
      </c>
      <c r="D80" s="164">
        <f>C80/$C$74</f>
        <v>0.17959118565275847</v>
      </c>
      <c r="E80" s="186">
        <f>E74*F80</f>
        <v>181263</v>
      </c>
      <c r="F80" s="165">
        <f t="shared" si="3"/>
        <v>0.17959118565275847</v>
      </c>
      <c r="H80" s="205">
        <f>H74*D80</f>
        <v>181263</v>
      </c>
      <c r="I80" s="165">
        <f>H80/$H$74</f>
        <v>0.17959118565275847</v>
      </c>
      <c r="K80" s="24"/>
    </row>
    <row r="81" spans="1:11" ht="15" customHeight="1" x14ac:dyDescent="0.4">
      <c r="B81" s="28" t="s">
        <v>113</v>
      </c>
      <c r="C81" s="77">
        <f>MAX(Data!C16,0)</f>
        <v>22422</v>
      </c>
      <c r="D81" s="164">
        <f>C81/$C$74</f>
        <v>2.2215198715160572E-2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169</v>
      </c>
      <c r="D82" s="164">
        <f>C82/$C$74</f>
        <v>1.6744128904032363E-4</v>
      </c>
      <c r="E82" s="186">
        <f>E74*F82</f>
        <v>169</v>
      </c>
      <c r="F82" s="165">
        <f t="shared" si="3"/>
        <v>1.6744128904032363E-4</v>
      </c>
      <c r="H82" s="205">
        <f>H74*D82</f>
        <v>169</v>
      </c>
      <c r="I82" s="165">
        <f>H82/$H$74</f>
        <v>1.6744128904032363E-4</v>
      </c>
      <c r="K82" s="24"/>
    </row>
    <row r="83" spans="1:11" ht="15" customHeight="1" thickBot="1" x14ac:dyDescent="0.45">
      <c r="B83" s="106" t="s">
        <v>134</v>
      </c>
      <c r="C83" s="168">
        <f>C78-C79-C80-C81-C82</f>
        <v>133894</v>
      </c>
      <c r="D83" s="169">
        <f>C83/$C$74</f>
        <v>0.13265907665541474</v>
      </c>
      <c r="E83" s="170">
        <f>E78-E79-E80-E81-E82</f>
        <v>156316</v>
      </c>
      <c r="F83" s="169">
        <f>E83/E74</f>
        <v>0.15487427537057533</v>
      </c>
      <c r="H83" s="170">
        <f>H78-H79-H80-H81-H82</f>
        <v>156316</v>
      </c>
      <c r="I83" s="169">
        <f>H83/$H$74</f>
        <v>0.15487427537057533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100420.5</v>
      </c>
      <c r="D85" s="171">
        <f>C85/$C$74</f>
        <v>9.949430749156106E-2</v>
      </c>
      <c r="E85" s="172">
        <f>E83*(1-F84)</f>
        <v>117237</v>
      </c>
      <c r="F85" s="171">
        <f>E85/E74</f>
        <v>0.11615570652793149</v>
      </c>
      <c r="H85" s="172">
        <f>H83*(1-I84)</f>
        <v>117237</v>
      </c>
      <c r="I85" s="171">
        <f>H85/$H$74</f>
        <v>0.11615570652793149</v>
      </c>
      <c r="K85" s="24"/>
    </row>
    <row r="86" spans="1:11" ht="15" customHeight="1" x14ac:dyDescent="0.4">
      <c r="B86" s="87" t="s">
        <v>172</v>
      </c>
      <c r="C86" s="173">
        <f>C85*Data!C4/Common_Shares</f>
        <v>4.6747063985720096</v>
      </c>
      <c r="D86" s="218"/>
      <c r="E86" s="174">
        <f>E85*Data!C4/Common_Shares</f>
        <v>5.4575365990946736</v>
      </c>
      <c r="F86" s="218"/>
      <c r="H86" s="174">
        <f>H85*Data!C4/Common_Shares</f>
        <v>5.4575365990946736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7.2021155782501192E-2</v>
      </c>
      <c r="D87" s="218"/>
      <c r="E87" s="239">
        <f>E86*Exchange_Rate/Dashboard!G3</f>
        <v>8.4081878107289759E-2</v>
      </c>
      <c r="F87" s="218"/>
      <c r="H87" s="239">
        <f>H86*Exchange_Rate/Dashboard!G3</f>
        <v>8.4081878107289759E-2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4.548</v>
      </c>
      <c r="D88" s="171">
        <f>C88/C86</f>
        <v>0.972895324803561</v>
      </c>
      <c r="E88" s="204">
        <f>H88</f>
        <v>4.548</v>
      </c>
      <c r="F88" s="171">
        <f>E88/E86</f>
        <v>0.83334301427395785</v>
      </c>
      <c r="H88" s="176">
        <f>Inputs!F6</f>
        <v>4.548</v>
      </c>
      <c r="I88" s="171">
        <f>H88/H86</f>
        <v>0.83334301427395785</v>
      </c>
      <c r="K88" s="24"/>
    </row>
    <row r="89" spans="1:11" ht="15" customHeight="1" x14ac:dyDescent="0.4">
      <c r="B89" s="87" t="s">
        <v>245</v>
      </c>
      <c r="C89" s="165">
        <f>C88*Exchange_Rate/Dashboard!G3</f>
        <v>7.0069045747744363E-2</v>
      </c>
      <c r="D89" s="218"/>
      <c r="E89" s="165">
        <f>E88*Exchange_Rate/Dashboard!G3</f>
        <v>7.0069045747744363E-2</v>
      </c>
      <c r="F89" s="218"/>
      <c r="H89" s="165">
        <f>H88*Exchange_Rate/Dashboard!G3</f>
        <v>7.0069045747744363E-2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3" t="s">
        <v>226</v>
      </c>
      <c r="F92" s="253"/>
      <c r="G92" s="87"/>
      <c r="H92" s="253" t="s">
        <v>225</v>
      </c>
      <c r="I92" s="253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0.08</v>
      </c>
      <c r="D93" s="206">
        <v>5</v>
      </c>
      <c r="E93" s="87" t="s">
        <v>229</v>
      </c>
      <c r="F93" s="146">
        <f>FV(E87,D93,0,-(E86/C93))</f>
        <v>102.14499538927085</v>
      </c>
      <c r="H93" s="87" t="s">
        <v>229</v>
      </c>
      <c r="I93" s="146">
        <f>FV(H87,D93,0,-(H86/C93))</f>
        <v>102.14499538927085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79.760795225811265</v>
      </c>
      <c r="H94" s="87" t="s">
        <v>230</v>
      </c>
      <c r="I94" s="146">
        <f>FV(H89,D93,0,-(H88/C93))</f>
        <v>79.760795225811265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1612835.6372047316</v>
      </c>
      <c r="E97" s="124">
        <f>PV(C94,D93,0,-F93)*Exchange_Rate</f>
        <v>54.846844561472281</v>
      </c>
      <c r="F97" s="124">
        <f>PV(C93,D93,0,-F93)*Exchange_Rate</f>
        <v>75.079620924870156</v>
      </c>
      <c r="H97" s="124">
        <f>PV(C93,D93,0,-I93)*Exchange_Rate</f>
        <v>75.079620924870156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4706.2736862892771</v>
      </c>
      <c r="E98" s="222"/>
      <c r="F98" s="222"/>
      <c r="H98" s="124">
        <f>C98*Data!$C$4/Common_Shares</f>
        <v>0.21908323215605938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-20899.242000000027</v>
      </c>
      <c r="E99" s="223"/>
      <c r="F99" s="148">
        <f>IF(H99&gt;0,H99*0.85,H99*1.15)</f>
        <v>-1.1188202941442309</v>
      </c>
      <c r="H99" s="148">
        <f>C99*Data!$C$4/Common_Shares</f>
        <v>-0.97288721229933128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1587230.1215184422</v>
      </c>
      <c r="E100" s="110">
        <f>MAX(E97-H98+F99,0)</f>
        <v>53.508941035171993</v>
      </c>
      <c r="F100" s="110">
        <f>MAX(F97-H98+F99,0)</f>
        <v>73.741717398569861</v>
      </c>
      <c r="H100" s="110">
        <f>MAX(C100*Data!$C$4/Common_Shares,0)</f>
        <v>73.887650480414749</v>
      </c>
      <c r="I100" s="110">
        <f>H100*1.25</f>
        <v>92.359563100518443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1259396.5323678472</v>
      </c>
      <c r="E103" s="110">
        <f>PV(C94,D93,0,-F94)*Exchange_Rate</f>
        <v>42.827628717177411</v>
      </c>
      <c r="F103" s="124">
        <f>PV(C93,D93,0,-F94)*Exchange_Rate</f>
        <v>58.62656557375611</v>
      </c>
      <c r="H103" s="124">
        <f>PV(C93,D93,0,-I94)*Exchange_Rate</f>
        <v>58.62656557375611</v>
      </c>
      <c r="I103" s="110">
        <f>H103*1.25</f>
        <v>73.283206967195142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1421745.8837931447</v>
      </c>
      <c r="E106" s="110">
        <f>(E100+E103)/2</f>
        <v>48.168284876174702</v>
      </c>
      <c r="F106" s="124">
        <f>(F100+F103)/2</f>
        <v>66.184141486162986</v>
      </c>
      <c r="H106" s="124">
        <f>(H100+H103)/2</f>
        <v>66.257108027085422</v>
      </c>
      <c r="I106" s="110">
        <f>H106*1.25</f>
        <v>82.821385033856785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249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2024-11-13T14:49:15Z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