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7001109F-062F-493C-86C5-54F865A7C84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6" i="4" l="1"/>
  <c r="F5" i="4"/>
  <c r="C3" i="1"/>
  <c r="C4" i="1"/>
  <c r="C5" i="1"/>
  <c r="D7" i="1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C7" i="1"/>
  <c r="C6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<sst xmlns="http://schemas.openxmlformats.org/spreadsheetml/2006/main" count="350" uniqueCount="250">
  <si>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</si>
  <si>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</si>
  <si>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</si>
  <si>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</si>
  <si>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</si>
  <si>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</si>
  <si>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</si>
  <si>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</si>
  <si>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</si>
  <si>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</si>
  <si>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</si>
  <si>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</si>
  <si>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</si>
  <si>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</si>
  <si>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</si>
  <si>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</si>
  <si>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</si>
  <si>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</si>
  <si>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</si>
  <si>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</si>
  <si>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</si>
  <si>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</si>
  <si>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</si>
  <si>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</si>
  <si>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</si>
  <si>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</si>
  <si>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</si>
  <si>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</si>
  <si>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</si>
  <si>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</si>
  <si>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</si>
  <si>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</si>
  <si>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</si>
  <si>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</si>
  <si>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</si>
  <si>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</si>
  <si>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</si>
  <si>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</si>
  <si>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</si>
  <si>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</si>
  <si>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</si>
  <si>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</si>
  <si>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</si>
  <si>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</si>
  <si>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</si>
  <si>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</si>
  <si>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</si>
  <si>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</si>
  <si>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</si>
  <si>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</si>
  <si>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</si>
  <si>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</si>
  <si>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</si>
  <si>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</si>
  <si>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</si>
  <si>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</si>
  <si>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</si>
  <si>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</si>
  <si>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</si>
  <si>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</si>
  <si>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</si>
  <si>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</si>
  <si>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</si>
  <si>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</si>
  <si>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</si>
  <si>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</si>
  <si>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</si>
  <si>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</si>
  <si>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</si>
  <si>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</si>
  <si>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</si>
  <si>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</si>
  <si>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</si>
  <si>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</si>
  <si>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</si>
  <si>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</si>
  <si>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</si>
  <si>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</si>
  <si>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</si>
  <si>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</si>
  <si>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</si>
  <si>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</si>
  <si>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</si>
  <si>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</si>
  <si>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</si>
  <si>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</si>
  <si>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</si>
  <si>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</si>
  <si>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</si>
  <si>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</si>
  <si>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</si>
  <si>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</si>
  <si>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</si>
  <si>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</si>
  <si>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</si>
  <si>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</si>
  <si>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</si>
  <si>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</si>
  <si>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</si>
  <si>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</si>
  <si>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</si>
  <si>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</si>
  <si>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</si>
  <si>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</si>
  <si>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</si>
  <si>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</si>
  <si>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</si>
  <si>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</si>
  <si>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</si>
  <si>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</si>
  <si>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</si>
  <si>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</si>
  <si>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</si>
  <si>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</si>
  <si>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</si>
  <si>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</si>
  <si>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</si>
  <si>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</si>
  <si>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</si>
  <si>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</si>
  <si>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</si>
  <si>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</si>
  <si>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</si>
  <si>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</si>
  <si>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</si>
  <si>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</si>
  <si>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</si>
  <si>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</si>
  <si>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</si>
  <si>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</si>
  <si>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</si>
  <si>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</si>
  <si>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</si>
  <si>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</si>
  <si>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</si>
  <si>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</si>
  <si>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</si>
  <si>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</si>
  <si>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</si>
  <si>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</si>
  <si>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</si>
  <si>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</si>
  <si>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</si>
  <si>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</si>
  <si>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</si>
  <si>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</si>
  <si>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</si>
  <si>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</si>
  <si>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</si>
  <si>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</si>
  <si>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</si>
  <si>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</si>
  <si>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</si>
  <si>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</si>
  <si>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</si>
  <si>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</si>
  <si>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</si>
  <si>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</si>
  <si>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</si>
  <si>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</si>
  <si>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</si>
  <si>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</si>
  <si>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</si>
  <si>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</si>
  <si>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</si>
  <si>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</si>
  <si>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</si>
  <si>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</si>
  <si>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</si>
  <si>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</si>
  <si>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</si>
  <si>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</si>
  <si>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</si>
  <si>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</si>
  <si>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</si>
  <si>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</si>
  <si>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</si>
  <si>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</si>
  <si>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</si>
  <si>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</si>
  <si>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</si>
  <si>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</si>
  <si>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</si>
  <si>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</si>
  <si>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</si>
  <si>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</si>
  <si>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</si>
  <si>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</si>
  <si>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</si>
  <si>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</si>
  <si>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</si>
  <si>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</si>
  <si>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</si>
  <si>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</si>
  <si>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</si>
  <si>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</si>
  <si>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</si>
  <si>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</si>
  <si>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</si>
  <si>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</si>
  <si>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</si>
  <si>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</si>
  <si>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</si>
  <si>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</si>
  <si>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</si>
  <si>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</si>
  <si>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</si>
  <si>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</si>
  <si>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</si>
  <si>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</si>
  <si>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</si>
  <si>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</si>
  <si>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</si>
  <si>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</si>
  <si>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</si>
  <si>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</si>
  <si>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</si>
  <si>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</si>
  <si>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</si>
  <si>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</si>
  <si>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</si>
  <si>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</si>
  <si>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</si>
  <si>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</si>
  <si>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</si>
  <si>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</si>
  <si>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</si>
  <si>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</si>
  <si>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</si>
  <si>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</si>
  <si>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</si>
  <si>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</si>
  <si>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</si>
  <si>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</si>
  <si>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</si>
  <si>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</si>
  <si>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</si>
  <si>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</si>
  <si>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</si>
  <si>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</si>
  <si>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</si>
  <si>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</si>
  <si>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</si>
  <si>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</si>
  <si>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</si>
  <si>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</si>
  <si>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</si>
  <si>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1398.HK</t>
    <phoneticPr fontId="20" type="noConversion"/>
  </si>
  <si>
    <t>工商银行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</si>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</sst>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7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1398.HK</v>
      </c>
      <c r="D3" s="246"/>
      <c r="E3" s="87"/>
      <c r="F3" s="3" t="s">
        <v>1</v>
      </c>
      <c r="G3" s="133">
        <v>4.7800002098083496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工商银行</v>
      </c>
      <c r="D4" s="248"/>
      <c r="E4" s="87"/>
      <c r="F4" s="3" t="s">
        <v>3</v>
      </c>
      <c r="G4" s="251">
        <f>Inputs!C10</f>
        <v>356406257089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45605</v>
      </c>
      <c r="D5" s="250"/>
      <c r="E5" s="34"/>
      <c r="F5" s="35" t="s">
        <v>102</v>
      </c>
      <c r="G5" s="243">
        <f>G3*G4/1000000</f>
        <v>1703621.9836624288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1.2012210534502537E-2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0.15470436118294414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0.48610500800425166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>
        <f>G3/(Data!C36*Data!C4/Common_Shares*Exchange_Rate)</f>
        <v>0.40818407412765495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0.2541553784538364</v>
      </c>
    </row>
    <row r="25" spans="1:8" ht="15.75" customHeight="1" x14ac:dyDescent="0.4">
      <c r="B25" s="138" t="s">
        <v>208</v>
      </c>
      <c r="C25" s="177">
        <f>Fin_Analysis!I82</f>
        <v>7.2783600033702114E-4</v>
      </c>
      <c r="F25" s="141" t="s">
        <v>188</v>
      </c>
      <c r="G25" s="177">
        <f>Fin_Analysis!I88</f>
        <v>0.27238632235665233</v>
      </c>
    </row>
    <row r="26" spans="1:8" ht="15.75" customHeight="1" x14ac:dyDescent="0.4">
      <c r="B26" s="139" t="s">
        <v>187</v>
      </c>
      <c r="C26" s="177">
        <f>Fin_Analysis!I83</f>
        <v>0.34645058427796466</v>
      </c>
      <c r="F26" s="142" t="s">
        <v>210</v>
      </c>
      <c r="G26" s="184">
        <f>Fin_Analysis!H88*Exchange_Rate/G3</f>
        <v>6.9228448844203649E-2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2.8739939859638066</v>
      </c>
      <c r="D29" s="130">
        <f>IF(Fin_Analysis!C108="Profit",Fin_Analysis!I100,IF(Fin_Analysis!C108="Dividend",Fin_Analysis!I103,Fin_Analysis!I106))</f>
        <v>4.9177482481393033</v>
      </c>
      <c r="E29" s="87"/>
      <c r="F29" s="132">
        <f>IF(Fin_Analysis!C108="Profit",Fin_Analysis!F100,IF(Fin_Analysis!C108="Dividend",Fin_Analysis!F103,Fin_Analysis!F106))</f>
        <v>3.9341985985114425</v>
      </c>
      <c r="G29" s="242">
        <f>IF(Fin_Analysis!C108="Profit",Fin_Analysis!H100,IF(Fin_Analysis!C108="Dividend",Fin_Analysis!H103,Fin_Analysis!H106))</f>
        <v>3.9341985985114425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8" priority="5">
      <formula>LEN(TRIM(C11))=0</formula>
    </cfRule>
  </conditionalFormatting>
  <conditionalFormatting sqref="D12">
    <cfRule type="containsBlanks" dxfId="17" priority="3">
      <formula>LEN(TRIM(D12))=0</formula>
    </cfRule>
  </conditionalFormatting>
  <conditionalFormatting sqref="D17">
    <cfRule type="containsBlanks" dxfId="16" priority="2">
      <formula>LEN(TRIM(D17))=0</formula>
    </cfRule>
  </conditionalFormatting>
  <conditionalFormatting sqref="E28">
    <cfRule type="cellIs" dxfId="15" priority="41" operator="greaterThan">
      <formula>#REF!</formula>
    </cfRule>
  </conditionalFormatting>
  <conditionalFormatting sqref="G20">
    <cfRule type="containsBlanks" dxfId="14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57" t="s">
        <v>248</v>
      </c>
      <c r="E5" s="231">
        <f>C18</f>
        <v>45291</v>
      </c>
      <c r="F5" s="232">
        <f>0.3064+0.1434</f>
        <v>0.44979999999999998</v>
      </c>
    </row>
    <row r="6" spans="1:6" ht="13.9" x14ac:dyDescent="0.4">
      <c r="B6" s="142" t="s">
        <v>175</v>
      </c>
      <c r="C6" s="196">
        <v>45605</v>
      </c>
      <c r="E6" s="233" t="s">
        <v>225</v>
      </c>
      <c r="F6" s="232">
        <f>0.3064</f>
        <v>0.30640000000000001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356406257089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1542930</v>
      </c>
      <c r="D19" s="152">
        <v>1278674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18534</v>
      </c>
      <c r="D20" s="153">
        <v>16493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238698</v>
      </c>
      <c r="D21" s="153">
        <v>239351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750026</v>
      </c>
      <c r="D26" s="153">
        <v>586689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1123</v>
      </c>
      <c r="D27" s="153">
        <v>978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3628128</v>
      </c>
      <c r="D40" s="60">
        <v>0.9</v>
      </c>
      <c r="E40" s="113"/>
    </row>
    <row r="41" spans="2:13" ht="13.9" x14ac:dyDescent="0.4">
      <c r="B41" s="1" t="s">
        <v>146</v>
      </c>
      <c r="C41" s="59">
        <v>2171209</v>
      </c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>
        <v>3557823</v>
      </c>
      <c r="D43" s="60">
        <v>0.6</v>
      </c>
      <c r="E43" s="113"/>
    </row>
    <row r="44" spans="2:13" ht="13.9" x14ac:dyDescent="0.4">
      <c r="B44" s="3" t="s">
        <v>44</v>
      </c>
      <c r="C44" s="59">
        <v>9431099</v>
      </c>
      <c r="D44" s="60">
        <v>0.5</v>
      </c>
      <c r="E44" s="113"/>
    </row>
    <row r="45" spans="2:13" ht="13.9" x14ac:dyDescent="0.4">
      <c r="B45" s="1" t="s">
        <v>170</v>
      </c>
      <c r="C45" s="59">
        <v>27228377</v>
      </c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65568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297776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>
        <v>97938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638618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40496667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1783937</v>
      </c>
    </row>
    <row r="70" spans="2:3" ht="14.25" thickBot="1" x14ac:dyDescent="0.45">
      <c r="B70" s="80" t="s">
        <v>16</v>
      </c>
      <c r="C70" s="83">
        <v>43252035</v>
      </c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>
        <v>3234661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3" priority="1">
      <formula>LEN(TRIM(C16))=0</formula>
    </cfRule>
  </conditionalFormatting>
  <conditionalFormatting sqref="C19:M27 D28:M37">
    <cfRule type="containsBlanks" dxfId="12" priority="7">
      <formula>LEN(TRIM(C19))=0</formula>
    </cfRule>
  </conditionalFormatting>
  <conditionalFormatting sqref="F5:F6">
    <cfRule type="containsBlanks" dxfId="11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534174.66666666663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1542930</v>
      </c>
      <c r="D6" s="209">
        <f>IF(Inputs!D19="","",Inputs!D19)</f>
        <v>1278674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0.20666409108185513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18534</v>
      </c>
      <c r="D8" s="208">
        <f>IF(Inputs!D20="","",Inputs!D20)</f>
        <v>16493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1524396</v>
      </c>
      <c r="D9" s="154">
        <f t="shared" si="2"/>
        <v>1262181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238698</v>
      </c>
      <c r="D10" s="208">
        <f>IF(Inputs!D21="","",Inputs!D21)</f>
        <v>239351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1285698</v>
      </c>
      <c r="D13" s="154">
        <f t="shared" ref="D13:M13" si="4">IF(D6="","",(D9-D10+MAX(D12,0)))</f>
        <v>1022830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750026</v>
      </c>
      <c r="D17" s="208">
        <f>IF(Inputs!D26="","",Inputs!D26)</f>
        <v>586689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1123</v>
      </c>
      <c r="D18" s="208">
        <f>IF(Inputs!D27="","",Inputs!D27)</f>
        <v>978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534174.66666666663</v>
      </c>
      <c r="D19" s="237">
        <f>IF(D6="","",D9-D10-MAX(D17,0)-MAX(D18,0)/(1-Fin_Analysis!$I$84))</f>
        <v>434837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0.22844805448171759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534174.66666666663</v>
      </c>
      <c r="D21" s="77">
        <f>IF(D6="","",D13-MAX(D14,0)-MAX(D15,0)-MAX(D16,0)-MAX(D17,0)-MAX(D18,0)/(1-Fin_Analysis!$I$84))</f>
        <v>434837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0.22844805448171759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0.25965597920838923</v>
      </c>
      <c r="D23" s="157">
        <f t="shared" si="7"/>
        <v>0.25505152212370003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400631</v>
      </c>
      <c r="D24" s="77">
        <f>IF(D6="","",D21*(1-Fin_Analysis!$I$84))</f>
        <v>326127.75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0.22844805448171768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47116536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46016636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43252035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42280604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42280604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3864501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629840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16682618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30433918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1.7551951959214277E-2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1.2012210534502537E-2</v>
      </c>
      <c r="D42" s="161">
        <f t="shared" si="33"/>
        <v>1.2898518308810534E-2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0.15470436118294414</v>
      </c>
      <c r="D43" s="157">
        <f t="shared" ref="D43:M43" si="34">IF(D6="","",(D10-MAX(D12,0))/D6)</f>
        <v>0.18718688266125691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0.48610500800425166</v>
      </c>
      <c r="D46" s="157">
        <f t="shared" ref="D46:M46" si="37">IF(D6="","",MAX(D17,0)/D6)</f>
        <v>0.45882609640924893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9.7044800044936142E-4</v>
      </c>
      <c r="D47" s="157">
        <f>IF(D6="","",MAX(D18,0)/(1-Fin_Analysis!$I$84)/D6)</f>
        <v>1.0198064557502538E-3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0.34620797227785227</v>
      </c>
      <c r="D48" s="157">
        <f t="shared" si="38"/>
        <v>0.34006869616493335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0.91797994232852775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1.2634035849314419E-2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1.4040838077932063</v>
      </c>
      <c r="D55" s="157">
        <f t="shared" ref="D55:M55" si="43">IF(D21="","",IF(MAX(D17,0)&lt;=0,"-",D17/D21))</f>
        <v>1.3492159130892725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1.0639184029144524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1" zoomScaleNormal="100" workbookViewId="0">
      <selection activeCell="C107" sqref="C107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3864501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3234661</v>
      </c>
      <c r="K3" s="24"/>
    </row>
    <row r="4" spans="1:11" ht="15" customHeight="1" x14ac:dyDescent="0.4">
      <c r="B4" s="3" t="s">
        <v>25</v>
      </c>
      <c r="C4" s="87"/>
      <c r="D4" s="65">
        <f>D3-I3</f>
        <v>629840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1.0639184029144524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-16813272.060000002</v>
      </c>
      <c r="E6" s="56">
        <f>1-D6/D3</f>
        <v>5.3506967807745429</v>
      </c>
      <c r="F6" s="87"/>
      <c r="G6" s="87"/>
      <c r="H6" s="1" t="s">
        <v>30</v>
      </c>
      <c r="I6" s="63">
        <f>(C24+C25)/I28</f>
        <v>1.0639184029144524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0.21634034098048796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3628128</v>
      </c>
      <c r="D11" s="207">
        <f>Inputs!D40</f>
        <v>0.9</v>
      </c>
      <c r="E11" s="88">
        <f t="shared" ref="E11:E22" si="0">C11*D11</f>
        <v>3265315.2</v>
      </c>
      <c r="F11" s="113"/>
      <c r="G11" s="87"/>
      <c r="H11" s="3" t="s">
        <v>39</v>
      </c>
      <c r="I11" s="40">
        <f>Inputs!C66</f>
        <v>40496667</v>
      </c>
      <c r="J11" s="87"/>
      <c r="K11" s="24"/>
    </row>
    <row r="12" spans="1:11" ht="13.9" x14ac:dyDescent="0.4">
      <c r="B12" s="1" t="s">
        <v>146</v>
      </c>
      <c r="C12" s="40">
        <f>Inputs!C41</f>
        <v>2171209</v>
      </c>
      <c r="D12" s="207">
        <f>Inputs!D41</f>
        <v>0.8</v>
      </c>
      <c r="E12" s="88">
        <f t="shared" si="0"/>
        <v>1736967.2000000002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3557823</v>
      </c>
      <c r="D14" s="207">
        <f>Inputs!D43</f>
        <v>0.6</v>
      </c>
      <c r="E14" s="88">
        <f t="shared" si="0"/>
        <v>2134693.7999999998</v>
      </c>
      <c r="F14" s="113"/>
      <c r="G14" s="87"/>
      <c r="H14" s="86" t="s">
        <v>43</v>
      </c>
      <c r="I14" s="214">
        <f>Inputs!C69</f>
        <v>1783937</v>
      </c>
      <c r="J14" s="87"/>
      <c r="K14" s="27"/>
    </row>
    <row r="15" spans="1:11" ht="13.9" x14ac:dyDescent="0.4">
      <c r="B15" s="3" t="s">
        <v>44</v>
      </c>
      <c r="C15" s="40">
        <f>Inputs!C44</f>
        <v>9431099</v>
      </c>
      <c r="D15" s="207">
        <f>Inputs!D44</f>
        <v>0.5</v>
      </c>
      <c r="E15" s="88">
        <f t="shared" si="0"/>
        <v>4715549.5</v>
      </c>
      <c r="F15" s="113"/>
      <c r="G15" s="87"/>
      <c r="H15" s="1" t="s">
        <v>54</v>
      </c>
      <c r="I15" s="84">
        <f>SUM(I11:I14)</f>
        <v>42280604</v>
      </c>
      <c r="J15" s="87"/>
    </row>
    <row r="16" spans="1:11" ht="13.9" x14ac:dyDescent="0.4">
      <c r="B16" s="1" t="s">
        <v>170</v>
      </c>
      <c r="C16" s="40">
        <f>Inputs!C45</f>
        <v>27228377</v>
      </c>
      <c r="D16" s="207">
        <f>Inputs!D45</f>
        <v>0.6</v>
      </c>
      <c r="E16" s="88">
        <f t="shared" si="0"/>
        <v>16337026.199999999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971431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9357160</v>
      </c>
      <c r="D24" s="62">
        <f>IF(E24=0,0,E24/C24)</f>
        <v>0.76272888355013702</v>
      </c>
      <c r="E24" s="88">
        <f>SUM(E11:E14)</f>
        <v>7136976.2000000002</v>
      </c>
      <c r="F24" s="114">
        <f>E24/$E$28</f>
        <v>0.25317806488438721</v>
      </c>
      <c r="G24" s="87"/>
    </row>
    <row r="25" spans="2:10" ht="15" customHeight="1" x14ac:dyDescent="0.4">
      <c r="B25" s="23" t="s">
        <v>55</v>
      </c>
      <c r="C25" s="61">
        <f>SUM(C15:C17)</f>
        <v>36659476</v>
      </c>
      <c r="D25" s="62">
        <f>IF(E25=0,0,E25/C25)</f>
        <v>0.57427377576264316</v>
      </c>
      <c r="E25" s="88">
        <f>SUM(E15:E17)</f>
        <v>21052575.699999999</v>
      </c>
      <c r="F25" s="114">
        <f>E25/$E$28</f>
        <v>0.74682193511561279</v>
      </c>
      <c r="G25" s="87"/>
      <c r="H25" s="23" t="s">
        <v>56</v>
      </c>
      <c r="I25" s="63">
        <f>E28/I28</f>
        <v>0.65175088062330477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>
        <f>E26/$E$28</f>
        <v>0</v>
      </c>
      <c r="G26" s="87"/>
      <c r="H26" s="23" t="s">
        <v>58</v>
      </c>
      <c r="I26" s="63">
        <f>E24/($I$28-I22)</f>
        <v>0.16880024230495858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>
        <f>E27/$E$28</f>
        <v>0</v>
      </c>
      <c r="G27" s="87"/>
      <c r="H27" s="23" t="s">
        <v>60</v>
      </c>
      <c r="I27" s="63">
        <f>(E25+E24)/$I$28</f>
        <v>0.65175088062330477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46016636</v>
      </c>
      <c r="D28" s="57">
        <f>E28/C28</f>
        <v>0.61259479941123895</v>
      </c>
      <c r="E28" s="70">
        <f>SUM(E24:E27)</f>
        <v>28189551.899999999</v>
      </c>
      <c r="F28" s="113"/>
      <c r="G28" s="87"/>
      <c r="H28" s="78" t="s">
        <v>16</v>
      </c>
      <c r="I28" s="215">
        <f>Inputs!C70</f>
        <v>43252035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65568</v>
      </c>
      <c r="D35" s="207">
        <f>Inputs!D57</f>
        <v>0.1</v>
      </c>
      <c r="E35" s="88">
        <f t="shared" si="1"/>
        <v>6556.8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297776</v>
      </c>
      <c r="D38" s="207">
        <f>Inputs!D60</f>
        <v>0.1</v>
      </c>
      <c r="E38" s="88">
        <f t="shared" si="1"/>
        <v>29777.600000000002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97938</v>
      </c>
      <c r="D41" s="207">
        <f>Inputs!D63</f>
        <v>0.9</v>
      </c>
      <c r="E41" s="88">
        <f t="shared" si="1"/>
        <v>88144.2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638618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65568</v>
      </c>
      <c r="D45" s="62">
        <f>IF(E45=0,0,E45/C45)</f>
        <v>0.1</v>
      </c>
      <c r="E45" s="88">
        <f>SUM(E32:E35)</f>
        <v>6556.8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297776</v>
      </c>
      <c r="D46" s="62">
        <f>IF(E46=0,0,E46/C46)</f>
        <v>0.1</v>
      </c>
      <c r="E46" s="88">
        <f>E36+E37+E38+E39</f>
        <v>29777.600000000002</v>
      </c>
      <c r="F46" s="87"/>
      <c r="G46" s="87"/>
      <c r="H46" s="23" t="s">
        <v>81</v>
      </c>
      <c r="I46" s="63">
        <f>(E44+E24)/E64</f>
        <v>0.16880024230495858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736556</v>
      </c>
      <c r="D47" s="62">
        <f>IF(E47=0,0,E47/C47)</f>
        <v>0.11967073786650302</v>
      </c>
      <c r="E47" s="88">
        <f>E40+E41+E42</f>
        <v>88144.2</v>
      </c>
      <c r="F47" s="87"/>
      <c r="G47" s="87"/>
      <c r="H47" s="23" t="s">
        <v>83</v>
      </c>
      <c r="I47" s="63">
        <f>(E44+E45+E24+E25)/$I$49</f>
        <v>0.65190247580258365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1099900</v>
      </c>
      <c r="D48" s="82">
        <f>E48/C48</f>
        <v>0.11317265205927812</v>
      </c>
      <c r="E48" s="76">
        <f>SUM(E30:E42)</f>
        <v>124478.6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47116536</v>
      </c>
      <c r="D49" s="56">
        <f>E49/C49</f>
        <v>0.60093616602035427</v>
      </c>
      <c r="E49" s="88">
        <f>E28+E48</f>
        <v>28314030.5</v>
      </c>
      <c r="F49" s="87"/>
      <c r="G49" s="87"/>
      <c r="H49" s="3" t="s">
        <v>86</v>
      </c>
      <c r="I49" s="52">
        <f>I28+I48</f>
        <v>43252035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629840</v>
      </c>
      <c r="D53" s="29">
        <f>IF(E53=0, 0,E53/C53)</f>
        <v>1</v>
      </c>
      <c r="E53" s="88">
        <f>IF(C53=0,0,MAX(C53,C53*Dashboard!G23))</f>
        <v>629840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42280604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13054490</v>
      </c>
      <c r="D61" s="56">
        <f t="shared" ref="D61:D70" si="2">IF(E61=0,0,E61/C61)</f>
        <v>0.52524457868518803</v>
      </c>
      <c r="E61" s="52">
        <f>E14+E15+(E19*G19)+(E20*G20)+E31+E32+(E35*G35)+(E36*G36)+(E37*G37)</f>
        <v>6856800.0999999996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3628128</v>
      </c>
      <c r="D62" s="108">
        <f t="shared" si="2"/>
        <v>0.9</v>
      </c>
      <c r="E62" s="119">
        <f>E11+E30</f>
        <v>3265315.2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16682618</v>
      </c>
      <c r="D63" s="29">
        <f t="shared" si="2"/>
        <v>0.60674621333414225</v>
      </c>
      <c r="E63" s="61">
        <f>E61+E62</f>
        <v>10122115.300000001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42280604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-25597986</v>
      </c>
      <c r="D65" s="29">
        <f t="shared" si="2"/>
        <v>1.2562897995178215</v>
      </c>
      <c r="E65" s="61">
        <f>E63-E64</f>
        <v>-32158488.699999999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30433918</v>
      </c>
      <c r="D68" s="29">
        <f t="shared" si="2"/>
        <v>0.59775133783300594</v>
      </c>
      <c r="E68" s="68">
        <f>E49-E63</f>
        <v>18191915.199999999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971431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29462487</v>
      </c>
      <c r="D70" s="29">
        <f t="shared" si="2"/>
        <v>0.58448847851846308</v>
      </c>
      <c r="E70" s="68">
        <f>E68-E69</f>
        <v>17220484.199999999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1542930</v>
      </c>
      <c r="D74" s="218"/>
      <c r="E74" s="205">
        <f>H74</f>
        <v>1542930</v>
      </c>
      <c r="F74" s="218"/>
      <c r="H74" s="205">
        <f>C74</f>
        <v>1542930</v>
      </c>
      <c r="I74" s="218"/>
      <c r="K74" s="24"/>
    </row>
    <row r="75" spans="1:11" ht="15" customHeight="1" x14ac:dyDescent="0.4">
      <c r="B75" s="105" t="s">
        <v>109</v>
      </c>
      <c r="C75" s="77">
        <f>Data!C8</f>
        <v>18534</v>
      </c>
      <c r="D75" s="164">
        <f>C75/$C$74</f>
        <v>1.2012210534502537E-2</v>
      </c>
      <c r="E75" s="186">
        <f>E74*F75</f>
        <v>18534</v>
      </c>
      <c r="F75" s="165">
        <f>I75</f>
        <v>1.2012210534502537E-2</v>
      </c>
      <c r="H75" s="205">
        <f>D75*H74</f>
        <v>18534</v>
      </c>
      <c r="I75" s="165">
        <f>H75/$H$74</f>
        <v>1.2012210534502537E-2</v>
      </c>
      <c r="K75" s="24"/>
    </row>
    <row r="76" spans="1:11" ht="15" customHeight="1" x14ac:dyDescent="0.4">
      <c r="B76" s="35" t="s">
        <v>96</v>
      </c>
      <c r="C76" s="166">
        <f>C74-C75</f>
        <v>1524396</v>
      </c>
      <c r="D76" s="219"/>
      <c r="E76" s="167">
        <f>E74-E75</f>
        <v>1524396</v>
      </c>
      <c r="F76" s="219"/>
      <c r="H76" s="167">
        <f>H74-H75</f>
        <v>1524396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238698</v>
      </c>
      <c r="D77" s="164">
        <f>C77/$C$74</f>
        <v>0.15470436118294414</v>
      </c>
      <c r="E77" s="186">
        <f>E74*F77</f>
        <v>238698</v>
      </c>
      <c r="F77" s="165">
        <f>I77</f>
        <v>0.15470436118294414</v>
      </c>
      <c r="H77" s="205">
        <f>D77*H74</f>
        <v>238698</v>
      </c>
      <c r="I77" s="165">
        <f>H77/$H$74</f>
        <v>0.15470436118294414</v>
      </c>
      <c r="K77" s="24"/>
    </row>
    <row r="78" spans="1:11" ht="15" customHeight="1" x14ac:dyDescent="0.4">
      <c r="B78" s="35" t="s">
        <v>97</v>
      </c>
      <c r="C78" s="166">
        <f>C76-C77</f>
        <v>1285698</v>
      </c>
      <c r="D78" s="219"/>
      <c r="E78" s="167">
        <f>E76-E77</f>
        <v>1285698</v>
      </c>
      <c r="F78" s="219"/>
      <c r="H78" s="167">
        <f>H76-H77</f>
        <v>1285698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750026</v>
      </c>
      <c r="D79" s="164">
        <f>C79/$C$74</f>
        <v>0.48610500800425166</v>
      </c>
      <c r="E79" s="186">
        <f>E74*F79</f>
        <v>750026</v>
      </c>
      <c r="F79" s="165">
        <f t="shared" ref="F79:F84" si="3">I79</f>
        <v>0.48610500800425166</v>
      </c>
      <c r="H79" s="205">
        <f>C79</f>
        <v>750026</v>
      </c>
      <c r="I79" s="165">
        <f>H79/$H$74</f>
        <v>0.48610500800425166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1123</v>
      </c>
      <c r="D82" s="164">
        <f>C82/$C$74</f>
        <v>7.2783600033702114E-4</v>
      </c>
      <c r="E82" s="186">
        <f>E74*F82</f>
        <v>1123</v>
      </c>
      <c r="F82" s="165">
        <f t="shared" si="3"/>
        <v>7.2783600033702114E-4</v>
      </c>
      <c r="H82" s="205">
        <f>H74*D82</f>
        <v>1123</v>
      </c>
      <c r="I82" s="165">
        <f>H82/$H$74</f>
        <v>7.2783600033702114E-4</v>
      </c>
      <c r="K82" s="24"/>
    </row>
    <row r="83" spans="1:11" ht="15" customHeight="1" thickBot="1" x14ac:dyDescent="0.45">
      <c r="B83" s="106" t="s">
        <v>134</v>
      </c>
      <c r="C83" s="168">
        <f>C78-C79-C80-C81-C82</f>
        <v>534549</v>
      </c>
      <c r="D83" s="169">
        <f>C83/$C$74</f>
        <v>0.34645058427796466</v>
      </c>
      <c r="E83" s="170">
        <f>E78-E79-E80-E81-E82</f>
        <v>534549</v>
      </c>
      <c r="F83" s="169">
        <f>E83/E74</f>
        <v>0.34645058427796466</v>
      </c>
      <c r="H83" s="170">
        <f>H78-H79-H80-H81-H82</f>
        <v>534549</v>
      </c>
      <c r="I83" s="169">
        <f>H83/$H$74</f>
        <v>0.34645058427796466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400911.75</v>
      </c>
      <c r="D85" s="171">
        <f>C85/$C$74</f>
        <v>0.25983793820847351</v>
      </c>
      <c r="E85" s="172">
        <f>E83*(1-F84)</f>
        <v>400911.75</v>
      </c>
      <c r="F85" s="171">
        <f>E85/E74</f>
        <v>0.25983793820847351</v>
      </c>
      <c r="H85" s="172">
        <f>H83*(1-I84)</f>
        <v>400911.75</v>
      </c>
      <c r="I85" s="171">
        <f>H85/$H$74</f>
        <v>0.25983793820847351</v>
      </c>
      <c r="K85" s="24"/>
    </row>
    <row r="86" spans="1:11" ht="15" customHeight="1" x14ac:dyDescent="0.4">
      <c r="B86" s="87" t="s">
        <v>172</v>
      </c>
      <c r="C86" s="173">
        <f>C85*Data!C4/Common_Shares</f>
        <v>1.1248729280863503</v>
      </c>
      <c r="D86" s="218"/>
      <c r="E86" s="174">
        <f>E85*Data!C4/Common_Shares</f>
        <v>1.1248729280863503</v>
      </c>
      <c r="F86" s="218"/>
      <c r="H86" s="174">
        <f>H85*Data!C4/Common_Shares</f>
        <v>1.1248729280863503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0.2541553784538364</v>
      </c>
      <c r="D87" s="218"/>
      <c r="E87" s="239">
        <f>E86*Exchange_Rate/Dashboard!G3</f>
        <v>0.2541553784538364</v>
      </c>
      <c r="F87" s="218"/>
      <c r="H87" s="239">
        <f>H86*Exchange_Rate/Dashboard!G3</f>
        <v>0.2541553784538364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0.44979999999999998</v>
      </c>
      <c r="D88" s="171">
        <f>C88/C86</f>
        <v>0.39986738836821867</v>
      </c>
      <c r="E88" s="204">
        <f>H88</f>
        <v>0.30640000000000001</v>
      </c>
      <c r="F88" s="171">
        <f>E88/E86</f>
        <v>0.27238632235665233</v>
      </c>
      <c r="H88" s="176">
        <f>Inputs!F6</f>
        <v>0.30640000000000001</v>
      </c>
      <c r="I88" s="171">
        <f>H88/H86</f>
        <v>0.27238632235665233</v>
      </c>
      <c r="K88" s="24"/>
    </row>
    <row r="89" spans="1:11" ht="15" customHeight="1" x14ac:dyDescent="0.4">
      <c r="B89" s="87" t="s">
        <v>246</v>
      </c>
      <c r="C89" s="165">
        <f>C88*Exchange_Rate/Dashboard!G3</f>
        <v>0.10162844742207179</v>
      </c>
      <c r="D89" s="218"/>
      <c r="E89" s="165">
        <f>E88*Exchange_Rate/Dashboard!G3</f>
        <v>6.9228448844203649E-2</v>
      </c>
      <c r="F89" s="218"/>
      <c r="H89" s="165">
        <f>H88*Exchange_Rate/Dashboard!G3</f>
        <v>6.9228448844203649E-2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0.08</v>
      </c>
      <c r="D93" s="206">
        <v>5</v>
      </c>
      <c r="E93" s="87" t="s">
        <v>229</v>
      </c>
      <c r="F93" s="146">
        <f>FV(E87,D93,0,-(E86/C93))</f>
        <v>43.628492069741803</v>
      </c>
      <c r="H93" s="87" t="s">
        <v>229</v>
      </c>
      <c r="I93" s="146">
        <f>FV(H87,D93,0,-(H86/C93))</f>
        <v>43.628492069741803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5.3524337597222909</v>
      </c>
      <c r="H94" s="87" t="s">
        <v>230</v>
      </c>
      <c r="I94" s="146">
        <f>FV(H89,D93,0,-(H88/C93))</f>
        <v>5.3524337597222909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11429322.852435196</v>
      </c>
      <c r="E97" s="124">
        <f>PV(C94,D93,0,-F93)*Exchange_Rate</f>
        <v>23.426356953479285</v>
      </c>
      <c r="F97" s="124">
        <f>PV(C93,D93,0,-F93)*Exchange_Rate</f>
        <v>32.06824410375355</v>
      </c>
      <c r="H97" s="124">
        <f>PV(C93,D93,0,-I93)*Exchange_Rate</f>
        <v>32.06824410375355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680227.20000000007</v>
      </c>
      <c r="E98" s="222"/>
      <c r="F98" s="222"/>
      <c r="H98" s="124">
        <f>C98*Data!$C$4/Common_Shares</f>
        <v>1.9085725530069388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-34731167.796000004</v>
      </c>
      <c r="E99" s="223"/>
      <c r="F99" s="148">
        <f>IF(H99&gt;0,H99*0.85,H99*1.15)</f>
        <v>-112.0654931583487</v>
      </c>
      <c r="H99" s="148">
        <f>C99*Data!$C$4/Common_Shares</f>
        <v>-97.448254920303228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-23982072.143564805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1402172.9971402527</v>
      </c>
      <c r="E103" s="110">
        <f>PV(C94,D93,0,-F94)*Exchange_Rate</f>
        <v>2.8739939859638066</v>
      </c>
      <c r="F103" s="124">
        <f>PV(C93,D93,0,-F94)*Exchange_Rate</f>
        <v>3.9341985985114425</v>
      </c>
      <c r="H103" s="124">
        <f>PV(C93,D93,0,-I94)*Exchange_Rate</f>
        <v>3.9341985985114425</v>
      </c>
      <c r="I103" s="110">
        <f>H103*1.25</f>
        <v>4.9177482481393033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701086.49857012636</v>
      </c>
      <c r="E106" s="110">
        <f>(E100+E103)/2</f>
        <v>1.4369969929819033</v>
      </c>
      <c r="F106" s="124">
        <f>(F100+F103)/2</f>
        <v>1.9670992992557212</v>
      </c>
      <c r="H106" s="124">
        <f>(H100+H103)/2</f>
        <v>1.9670992992557212</v>
      </c>
      <c r="I106" s="110">
        <f>H106*1.25</f>
        <v>2.4588741240696517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7">
      <formula>LEN(TRIM(C86))=0</formula>
    </cfRule>
  </conditionalFormatting>
  <conditionalFormatting sqref="C108">
    <cfRule type="containsBlanks" dxfId="5" priority="4">
      <formula>LEN(TRIM(C108))=0</formula>
    </cfRule>
  </conditionalFormatting>
  <conditionalFormatting sqref="E74:E82 F84">
    <cfRule type="containsBlanks" dxfId="4" priority="2">
      <formula>LEN(TRIM(E74))=0</formula>
    </cfRule>
  </conditionalFormatting>
  <conditionalFormatting sqref="E88">
    <cfRule type="containsBlanks" dxfId="3" priority="1">
      <formula>LEN(TRIM(E88))=0</formula>
    </cfRule>
  </conditionalFormatting>
  <conditionalFormatting sqref="H74:H82 I84">
    <cfRule type="containsBlanks" dxfId="2" priority="11">
      <formula>LEN(TRIM(H74))=0</formula>
    </cfRule>
  </conditionalFormatting>
  <conditionalFormatting sqref="H88">
    <cfRule type="containsBlanks" dxfId="1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2024-11-13T14:29:37Z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