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8F0C5B5-5862-4A27-8E65-92743F51BE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<sst xmlns="http://schemas.openxmlformats.org/spreadsheetml/2006/main" count="350" uniqueCount="250">
  <si>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</si>
  <si>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</si>
  <si>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</si>
  <si>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</si>
  <si>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</si>
  <si>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</si>
  <si>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</si>
  <si>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</si>
  <si>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</si>
  <si>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</si>
  <si>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</si>
  <si>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</si>
  <si>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</si>
  <si>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</si>
  <si>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</si>
  <si>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</si>
  <si>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</si>
  <si>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</si>
  <si>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</si>
  <si>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</si>
  <si>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</si>
  <si>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</si>
  <si>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</si>
  <si>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</si>
  <si>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</si>
  <si>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</si>
  <si>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</si>
  <si>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</si>
  <si>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</si>
  <si>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</si>
  <si>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</si>
  <si>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</si>
  <si>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</si>
  <si>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</si>
  <si>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</si>
  <si>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</si>
  <si>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</si>
  <si>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</si>
  <si>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</si>
  <si>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</si>
  <si>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</si>
  <si>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</si>
  <si>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</si>
  <si>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</si>
  <si>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</si>
  <si>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</si>
  <si>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</si>
  <si>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</si>
  <si>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</si>
  <si>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</si>
  <si>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</si>
  <si>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</si>
  <si>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</si>
  <si>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</si>
  <si>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</si>
  <si>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</si>
  <si>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</si>
  <si>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</si>
  <si>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</si>
  <si>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</si>
  <si>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</si>
  <si>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</si>
  <si>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</si>
  <si>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</si>
  <si>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</si>
  <si>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</si>
  <si>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</si>
  <si>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</si>
  <si>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</si>
  <si>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</si>
  <si>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</si>
  <si>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</si>
  <si>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</si>
  <si>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</si>
  <si>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</si>
  <si>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</si>
  <si>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</si>
  <si>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</si>
  <si>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</si>
  <si>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</si>
  <si>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</si>
  <si>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</si>
  <si>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</si>
  <si>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</si>
  <si>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</si>
  <si>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</si>
  <si>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</si>
  <si>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</si>
  <si>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</si>
  <si>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</si>
  <si>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</si>
  <si>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</si>
  <si>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</si>
  <si>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</si>
  <si>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</si>
  <si>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</si>
  <si>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</si>
  <si>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</si>
  <si>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</si>
  <si>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</si>
  <si>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</si>
  <si>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</si>
  <si>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</si>
  <si>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</si>
  <si>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</si>
  <si>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</si>
  <si>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</si>
  <si>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</si>
  <si>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</si>
  <si>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</si>
  <si>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</si>
  <si>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</si>
  <si>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</si>
  <si>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</si>
  <si>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</si>
  <si>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</si>
  <si>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</si>
  <si>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</si>
  <si>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</si>
  <si>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</si>
  <si>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</si>
  <si>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</si>
  <si>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</si>
  <si>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</si>
  <si>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</si>
  <si>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</si>
  <si>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</si>
  <si>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</si>
  <si>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</si>
  <si>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</si>
  <si>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</si>
  <si>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</si>
  <si>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</si>
  <si>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</si>
  <si>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</si>
  <si>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</si>
  <si>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</si>
  <si>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</si>
  <si>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</si>
  <si>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</si>
  <si>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</si>
  <si>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</si>
  <si>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</si>
  <si>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</si>
  <si>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</si>
  <si>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</si>
  <si>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</si>
  <si>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</si>
  <si>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</si>
  <si>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</si>
  <si>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</si>
  <si>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</si>
  <si>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</si>
  <si>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</si>
  <si>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</si>
  <si>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</si>
  <si>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</si>
  <si>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</si>
  <si>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</si>
  <si>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</si>
  <si>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</si>
  <si>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</si>
  <si>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</si>
  <si>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</si>
  <si>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</si>
  <si>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</si>
  <si>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</si>
  <si>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</si>
  <si>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</si>
  <si>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</si>
  <si>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</si>
  <si>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</si>
  <si>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</si>
  <si>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</si>
  <si>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</si>
  <si>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</si>
  <si>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</si>
  <si>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</si>
  <si>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</si>
  <si>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</si>
  <si>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</si>
  <si>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</si>
  <si>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</si>
  <si>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</si>
  <si>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</si>
  <si>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</si>
  <si>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</si>
  <si>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</si>
  <si>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</si>
  <si>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</si>
  <si>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</si>
  <si>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</si>
  <si>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</si>
  <si>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</si>
  <si>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</si>
  <si>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</si>
  <si>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</si>
  <si>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</si>
  <si>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</si>
  <si>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</si>
  <si>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</si>
  <si>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</si>
  <si>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</si>
  <si>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</si>
  <si>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</si>
  <si>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</si>
  <si>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</si>
  <si>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</si>
  <si>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</si>
  <si>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</si>
  <si>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</si>
  <si>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</si>
  <si>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</si>
  <si>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</si>
  <si>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</si>
  <si>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</si>
  <si>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</si>
  <si>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</si>
  <si>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</si>
  <si>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</si>
  <si>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</si>
  <si>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</si>
  <si>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</si>
  <si>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</si>
  <si>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</si>
  <si>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</si>
  <si>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</si>
  <si>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</si>
  <si>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</si>
  <si>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</si>
  <si>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</si>
  <si>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</si>
  <si>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</si>
  <si>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</si>
  <si>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</si>
  <si>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</si>
  <si>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</si>
  <si>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</si>
  <si>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</si>
  <si>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</si>
  <si>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</si>
  <si>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</si>
  <si>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</si>
  <si>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</si>
  <si>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</si>
  <si>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</si>
  <si>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</si>
  <si>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1405.HK</t>
    <phoneticPr fontId="20" type="noConversion"/>
  </si>
  <si>
    <t>達勢股份</t>
    <phoneticPr fontId="20" type="noConversion"/>
  </si>
  <si>
    <t>C0002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</si>
</sst>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1405.HK</v>
      </c>
      <c r="D3" s="246"/>
      <c r="E3" s="87"/>
      <c r="F3" s="3" t="s">
        <v>1</v>
      </c>
      <c r="G3" s="133">
        <v>72.5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達勢股份</v>
      </c>
      <c r="D4" s="248"/>
      <c r="E4" s="87"/>
      <c r="F4" s="3" t="s">
        <v>3</v>
      </c>
      <c r="G4" s="251">
        <f>Inputs!C10</f>
        <v>130481963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45603</v>
      </c>
      <c r="D5" s="250"/>
      <c r="E5" s="34"/>
      <c r="F5" s="35" t="s">
        <v>102</v>
      </c>
      <c r="G5" s="243">
        <f>G3*G4/1000000</f>
        <v>9459.9423174999993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0.8448760372568398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0.18023840312844694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1.7912194354438221E-2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-1.1239203837777524E-2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4">
      <c r="B26" s="139" t="s">
        <v>187</v>
      </c>
      <c r="C26" s="177">
        <f>Fin_Analysis!I83</f>
        <v>-4.3026634739724949E-2</v>
      </c>
      <c r="F26" s="142" t="s">
        <v>210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0</v>
      </c>
      <c r="D29" s="130">
        <f>IF(Fin_Analysis!C108="Profit",Fin_Analysis!I100,IF(Fin_Analysis!C108="Dividend",Fin_Analysis!I103,Fin_Analysis!I106))</f>
        <v>0</v>
      </c>
      <c r="E29" s="87"/>
      <c r="F29" s="132">
        <f>IF(Fin_Analysis!C108="Profit",Fin_Analysis!F100,IF(Fin_Analysis!C108="Dividend",Fin_Analysis!F103,Fin_Analysis!F106))</f>
        <v>0</v>
      </c>
      <c r="G29" s="242">
        <f>IF(Fin_Analysis!C108="Profit",Fin_Analysis!H100,IF(Fin_Analysis!C108="Dividend",Fin_Analysis!H103,Fin_Analysis!H106))</f>
        <v>0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57" t="s">
        <v>248</v>
      </c>
      <c r="E5" s="231">
        <f>C18</f>
        <v>45291</v>
      </c>
      <c r="F5" s="232">
        <v>0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0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130481963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3050715</v>
      </c>
      <c r="D19" s="152">
        <v>2020789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2577476</v>
      </c>
      <c r="D20" s="153">
        <v>1776546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549856</v>
      </c>
      <c r="D21" s="153">
        <v>395166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54645</v>
      </c>
      <c r="D26" s="153">
        <v>78321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-131262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3050715</v>
      </c>
      <c r="D6" s="209">
        <f>IF(Inputs!D19="","",Inputs!D19)</f>
        <v>2020789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2577476</v>
      </c>
      <c r="D8" s="208">
        <f>IF(Inputs!D20="","",Inputs!D20)</f>
        <v>1776546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473239</v>
      </c>
      <c r="D9" s="154">
        <f t="shared" si="2"/>
        <v>244243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549856</v>
      </c>
      <c r="D10" s="208">
        <f>IF(Inputs!D21="","",Inputs!D21)</f>
        <v>395166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-76617</v>
      </c>
      <c r="D13" s="154">
        <f t="shared" ref="D13:M13" si="4">IF(D6="","",(D9-D10+MAX(D12,0)))</f>
        <v>-150923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54645</v>
      </c>
      <c r="D17" s="208">
        <f>IF(Inputs!D26="","",Inputs!D26)</f>
        <v>78321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-131262</v>
      </c>
      <c r="D19" s="237">
        <f>IF(D6="","",D9-D10-MAX(D17,0)-MAX(D18,0)/(1-Fin_Analysis!$I$84))</f>
        <v>-229244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0.42741358552459391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-131262</v>
      </c>
      <c r="D21" s="77">
        <f>IF(D6="","",D13-MAX(D14,0)-MAX(D15,0)-MAX(D16,0)-MAX(D17,0)-MAX(D18,0)/(1-Fin_Analysis!$I$84))</f>
        <v>-229244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0.42741358552459391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-3.226997605479371E-2</v>
      </c>
      <c r="D23" s="157">
        <f t="shared" si="7"/>
        <v>-8.5082113966376494E-2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-98446.5</v>
      </c>
      <c r="D24" s="77">
        <f>IF(D6="","",D21*(1-Fin_Analysis!$I$84))</f>
        <v>-171933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0.42741358552459391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0.8448760372568398</v>
      </c>
      <c r="D42" s="161">
        <f t="shared" si="33"/>
        <v>0.87913483297860395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0.18023840312844694</v>
      </c>
      <c r="D43" s="157">
        <f t="shared" ref="D43:M43" si="34">IF(D6="","",(D10-MAX(D12,0))/D6)</f>
        <v>0.19555035186751313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1.7912194354438221E-2</v>
      </c>
      <c r="D46" s="157">
        <f t="shared" ref="D46:M46" si="37">IF(D6="","",MAX(D17,0)/D6)</f>
        <v>3.8757633775718295E-2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-4.3026634739724949E-2</v>
      </c>
      <c r="D48" s="157">
        <f t="shared" si="38"/>
        <v>-0.11344281862183533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-0.41630479499017231</v>
      </c>
      <c r="D55" s="157">
        <f t="shared" ref="D55:M55" si="43">IF(D21="","",IF(MAX(D17,0)&lt;=0,"-",D17/D21))</f>
        <v>-0.34164907260386312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3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3050715</v>
      </c>
      <c r="D74" s="218"/>
      <c r="E74" s="205">
        <f>H74</f>
        <v>3050715</v>
      </c>
      <c r="F74" s="218"/>
      <c r="H74" s="205">
        <f>C74</f>
        <v>3050715</v>
      </c>
      <c r="I74" s="218"/>
      <c r="K74" s="24"/>
    </row>
    <row r="75" spans="1:11" ht="15" customHeight="1" x14ac:dyDescent="0.4">
      <c r="B75" s="105" t="s">
        <v>109</v>
      </c>
      <c r="C75" s="77">
        <f>Data!C8</f>
        <v>2577476</v>
      </c>
      <c r="D75" s="164">
        <f>C75/$C$74</f>
        <v>0.8448760372568398</v>
      </c>
      <c r="E75" s="186">
        <f>E74*F75</f>
        <v>2577476</v>
      </c>
      <c r="F75" s="165">
        <f>I75</f>
        <v>0.8448760372568398</v>
      </c>
      <c r="H75" s="205">
        <f>D75*H74</f>
        <v>2577476</v>
      </c>
      <c r="I75" s="165">
        <f>H75/$H$74</f>
        <v>0.8448760372568398</v>
      </c>
      <c r="K75" s="24"/>
    </row>
    <row r="76" spans="1:11" ht="15" customHeight="1" x14ac:dyDescent="0.4">
      <c r="B76" s="35" t="s">
        <v>96</v>
      </c>
      <c r="C76" s="166">
        <f>C74-C75</f>
        <v>473239</v>
      </c>
      <c r="D76" s="219"/>
      <c r="E76" s="167">
        <f>E74-E75</f>
        <v>473239</v>
      </c>
      <c r="F76" s="219"/>
      <c r="H76" s="167">
        <f>H74-H75</f>
        <v>473239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549856</v>
      </c>
      <c r="D77" s="164">
        <f>C77/$C$74</f>
        <v>0.18023840312844694</v>
      </c>
      <c r="E77" s="186">
        <f>E74*F77</f>
        <v>549856</v>
      </c>
      <c r="F77" s="165">
        <f>I77</f>
        <v>0.18023840312844694</v>
      </c>
      <c r="H77" s="205">
        <f>D77*H74</f>
        <v>549856</v>
      </c>
      <c r="I77" s="165">
        <f>H77/$H$74</f>
        <v>0.18023840312844694</v>
      </c>
      <c r="K77" s="24"/>
    </row>
    <row r="78" spans="1:11" ht="15" customHeight="1" x14ac:dyDescent="0.4">
      <c r="B78" s="35" t="s">
        <v>97</v>
      </c>
      <c r="C78" s="166">
        <f>C76-C77</f>
        <v>-76617</v>
      </c>
      <c r="D78" s="219"/>
      <c r="E78" s="167">
        <f>E76-E77</f>
        <v>-76617</v>
      </c>
      <c r="F78" s="219"/>
      <c r="H78" s="167">
        <f>H76-H77</f>
        <v>-76617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54645</v>
      </c>
      <c r="D79" s="164">
        <f>C79/$C$74</f>
        <v>1.7912194354438221E-2</v>
      </c>
      <c r="E79" s="186">
        <f>E74*F79</f>
        <v>54645</v>
      </c>
      <c r="F79" s="165">
        <f t="shared" ref="F79:F84" si="3">I79</f>
        <v>1.7912194354438221E-2</v>
      </c>
      <c r="H79" s="205">
        <f>C79</f>
        <v>54645</v>
      </c>
      <c r="I79" s="165">
        <f>H79/$H$74</f>
        <v>1.7912194354438221E-2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-131262</v>
      </c>
      <c r="D83" s="169">
        <f>C83/$C$74</f>
        <v>-4.3026634739724949E-2</v>
      </c>
      <c r="E83" s="170">
        <f>E78-E79-E80-E81-E82</f>
        <v>-131262</v>
      </c>
      <c r="F83" s="169">
        <f>E83/E74</f>
        <v>-4.3026634739724949E-2</v>
      </c>
      <c r="H83" s="170">
        <f>H78-H79-H80-H81-H82</f>
        <v>-131262</v>
      </c>
      <c r="I83" s="169">
        <f>H83/$H$74</f>
        <v>-4.3026634739724949E-2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-98446.5</v>
      </c>
      <c r="D85" s="171">
        <f>C85/$C$74</f>
        <v>-3.226997605479371E-2</v>
      </c>
      <c r="E85" s="172">
        <f>E83*(1-F84)</f>
        <v>-98446.5</v>
      </c>
      <c r="F85" s="171">
        <f>E85/E74</f>
        <v>-3.226997605479371E-2</v>
      </c>
      <c r="H85" s="172">
        <f>H83*(1-I84)</f>
        <v>-98446.5</v>
      </c>
      <c r="I85" s="171">
        <f>H85/$H$74</f>
        <v>-3.226997605479371E-2</v>
      </c>
      <c r="K85" s="24"/>
    </row>
    <row r="86" spans="1:11" ht="15" customHeight="1" x14ac:dyDescent="0.4">
      <c r="B86" s="87" t="s">
        <v>172</v>
      </c>
      <c r="C86" s="173">
        <f>C85*Data!C4/Common_Shares</f>
        <v>-0.75448359096191708</v>
      </c>
      <c r="D86" s="218"/>
      <c r="E86" s="174">
        <f>E85*Data!C4/Common_Shares</f>
        <v>-0.75448359096191708</v>
      </c>
      <c r="F86" s="218"/>
      <c r="H86" s="174">
        <f>H85*Data!C4/Common_Shares</f>
        <v>-0.75448359096191708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-1.1239203837777524E-2</v>
      </c>
      <c r="D87" s="218"/>
      <c r="E87" s="239">
        <f>E86*Exchange_Rate/Dashboard!G3</f>
        <v>-1.1239203837777524E-2</v>
      </c>
      <c r="F87" s="218"/>
      <c r="H87" s="239">
        <f>H86*Exchange_Rate/Dashboard!G3</f>
        <v>-1.1239203837777524E-2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4">
      <c r="B89" s="87" t="s">
        <v>246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-8.9128378305665894</v>
      </c>
      <c r="H93" s="87" t="s">
        <v>229</v>
      </c>
      <c r="I93" s="146">
        <f>FV(H87,D93,0,-(H86/C93))</f>
        <v>-8.9128378305665894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0</v>
      </c>
      <c r="H94" s="87" t="s">
        <v>230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-854813.68112901843</v>
      </c>
      <c r="E97" s="124">
        <f>PV(C94,D93,0,-F93)*Exchange_Rate</f>
        <v>-4.7857560640317249</v>
      </c>
      <c r="F97" s="124">
        <f>PV(C93,D93,0,-F93)*Exchange_Rate</f>
        <v>-6.551201878600021</v>
      </c>
      <c r="H97" s="124">
        <f>PV(C93,D93,0,-I93)*Exchange_Rate</f>
        <v>-6.551201878600021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-854813.68112901843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0</v>
      </c>
      <c r="E106" s="110">
        <f>(E100+E103)/2</f>
        <v>0</v>
      </c>
      <c r="F106" s="124">
        <f>(F100+F103)/2</f>
        <v>0</v>
      </c>
      <c r="H106" s="124">
        <f>(H100+H103)/2</f>
        <v>0</v>
      </c>
      <c r="I106" s="110">
        <f>H106*1.25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