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B2C19B9C-EB12-4692-BB80-EDC0981F3450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29" i="1" l="1"/>
  <c r="E74" i="3"/>
  <c r="H80" i="3"/>
  <c r="F4" i="4" l="1"/>
  <c r="F36" i="3"/>
  <c r="F37" i="3"/>
  <c r="F35" i="3"/>
  <c r="F20" i="3"/>
  <c r="F19" i="3"/>
  <c r="F6" i="4" l="1"/>
  <c r="D42" i="4"/>
  <c r="D48" i="4" s="1"/>
  <c r="D51" i="4"/>
  <c r="D61" i="4"/>
  <c r="D60" i="4"/>
  <c r="D59" i="4"/>
  <c r="D55" i="4"/>
  <c r="D47" i="4"/>
  <c r="D54" i="4"/>
  <c r="D53" i="4"/>
  <c r="D52" i="4"/>
  <c r="D50" i="4"/>
  <c r="D63" i="4" s="1"/>
  <c r="D45" i="4" l="1"/>
  <c r="H88" i="3" l="1"/>
  <c r="H89" i="3" s="1"/>
  <c r="C88" i="3"/>
  <c r="C89" i="3" s="1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I6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D46" i="2" s="1"/>
  <c r="E6" i="2"/>
  <c r="E46" i="2" s="1"/>
  <c r="F6" i="2"/>
  <c r="F46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G28" i="1" s="1"/>
  <c r="F96" i="3"/>
  <c r="F28" i="1" s="1"/>
  <c r="F84" i="3"/>
  <c r="H46" i="2" l="1"/>
  <c r="I7" i="2"/>
  <c r="J46" i="2"/>
  <c r="J7" i="2"/>
  <c r="K21" i="2"/>
  <c r="K55" i="2" s="1"/>
  <c r="K46" i="2"/>
  <c r="K19" i="2"/>
  <c r="I43" i="2"/>
  <c r="I46" i="2"/>
  <c r="G27" i="2"/>
  <c r="G39" i="2" s="1"/>
  <c r="G40" i="2" s="1"/>
  <c r="M44" i="2"/>
  <c r="M19" i="2"/>
  <c r="M21" i="2"/>
  <c r="M55" i="2" s="1"/>
  <c r="M46" i="2"/>
  <c r="L11" i="2"/>
  <c r="L21" i="2"/>
  <c r="L55" i="2" s="1"/>
  <c r="L46" i="2"/>
  <c r="L19" i="2"/>
  <c r="C46" i="2"/>
  <c r="G46" i="2"/>
  <c r="C77" i="3"/>
  <c r="H11" i="2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E5" i="4"/>
  <c r="F9" i="2"/>
  <c r="F13" i="2" s="1"/>
  <c r="F21" i="2" s="1"/>
  <c r="F55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H44" i="2"/>
  <c r="K43" i="2"/>
  <c r="M11" i="2"/>
  <c r="K54" i="2"/>
  <c r="J43" i="2"/>
  <c r="L43" i="2"/>
  <c r="E7" i="2"/>
  <c r="C11" i="2"/>
  <c r="L54" i="2"/>
  <c r="D9" i="2"/>
  <c r="D13" i="2" s="1"/>
  <c r="D21" i="2" s="1"/>
  <c r="D55" i="2" s="1"/>
  <c r="H7" i="2"/>
  <c r="C44" i="2"/>
  <c r="F44" i="2"/>
  <c r="H43" i="2"/>
  <c r="H9" i="2"/>
  <c r="H13" i="2" s="1"/>
  <c r="H21" i="2" s="1"/>
  <c r="H55" i="2" s="1"/>
  <c r="K11" i="2"/>
  <c r="E44" i="2"/>
  <c r="I11" i="2"/>
  <c r="G7" i="2"/>
  <c r="G9" i="2"/>
  <c r="G13" i="2" s="1"/>
  <c r="G21" i="2" s="1"/>
  <c r="G55" i="2" s="1"/>
  <c r="K7" i="2"/>
  <c r="C9" i="2"/>
  <c r="C13" i="2" s="1"/>
  <c r="C21" i="2" s="1"/>
  <c r="C55" i="2" s="1"/>
  <c r="M9" i="2"/>
  <c r="L9" i="2"/>
  <c r="I9" i="2"/>
  <c r="I19" i="2" s="1"/>
  <c r="D7" i="2"/>
  <c r="K9" i="2"/>
  <c r="J9" i="2"/>
  <c r="J19" i="2" s="1"/>
  <c r="F102" i="3"/>
  <c r="H102" i="3"/>
  <c r="C93" i="3"/>
  <c r="M20" i="2"/>
  <c r="J13" i="2" l="1"/>
  <c r="J21" i="2" s="1"/>
  <c r="J55" i="2" s="1"/>
  <c r="I13" i="2"/>
  <c r="I21" i="2" s="1"/>
  <c r="I55" i="2" s="1"/>
  <c r="H19" i="2"/>
  <c r="M54" i="2"/>
  <c r="D19" i="2"/>
  <c r="G19" i="2"/>
  <c r="F19" i="2"/>
  <c r="E19" i="2"/>
  <c r="C19" i="2"/>
  <c r="G54" i="2"/>
  <c r="E54" i="2"/>
  <c r="F54" i="2"/>
  <c r="H54" i="2"/>
  <c r="D54" i="2"/>
  <c r="E40" i="2"/>
  <c r="F40" i="2"/>
  <c r="D40" i="2"/>
  <c r="J54" i="2" l="1"/>
  <c r="I54" i="2"/>
  <c r="E88" i="3"/>
  <c r="E89" i="3" s="1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87" i="3" s="1"/>
  <c r="C25" i="1"/>
  <c r="C48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E87" i="3" s="1"/>
  <c r="F85" i="3"/>
  <c r="D29" i="1"/>
  <c r="F93" i="3" l="1"/>
  <c r="F88" i="3"/>
  <c r="E97" i="3" l="1"/>
  <c r="F97" i="3"/>
  <c r="F100" i="3" l="1"/>
  <c r="F106" i="3" s="1"/>
  <c r="C106" i="3" s="1"/>
  <c r="E100" i="3"/>
  <c r="E106" i="3" s="1"/>
  <c r="F29" i="1" l="1"/>
</calcChain>
</file>

<file path=xl/sharedStrings.xml><?xml version="1.0" encoding="utf-8"?>
<sst xmlns="http://schemas.openxmlformats.org/spreadsheetml/2006/main" count="350" uniqueCount="249">
  <si>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</si>
  <si>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</si>
  <si>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</si>
  <si>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</si>
  <si>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</si>
  <si>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</si>
  <si>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</si>
  <si>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</si>
  <si>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</si>
  <si>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</si>
  <si>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</si>
  <si>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</si>
  <si>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</si>
  <si>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</si>
  <si>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</si>
  <si>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</si>
  <si>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</si>
  <si>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</si>
  <si>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</si>
  <si>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</si>
  <si>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</si>
  <si>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</si>
  <si>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</si>
  <si>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</si>
  <si>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</si>
  <si>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</si>
  <si>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</si>
  <si>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</si>
  <si>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</si>
  <si>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</si>
  <si>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</si>
  <si>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</si>
  <si>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</si>
  <si>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</si>
  <si>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</si>
  <si>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</si>
  <si>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</si>
  <si>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</si>
  <si>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</si>
  <si>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</si>
  <si>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</si>
  <si>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</si>
  <si>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</si>
  <si>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</si>
  <si>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</si>
  <si>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</si>
  <si>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</si>
  <si>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</si>
  <si>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</si>
  <si>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</si>
  <si>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</si>
  <si>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</si>
  <si>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</si>
  <si>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</si>
  <si>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</si>
  <si>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</si>
  <si>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</si>
  <si>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</si>
  <si>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</si>
  <si>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</si>
  <si>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</si>
  <si>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</si>
  <si>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</si>
  <si>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</si>
  <si>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</si>
  <si>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</si>
  <si>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</si>
  <si>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</si>
  <si>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</si>
  <si>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</si>
  <si>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</si>
  <si>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</si>
  <si>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</si>
  <si>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</si>
  <si>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</si>
  <si>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</si>
  <si>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</si>
  <si>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</si>
  <si>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</si>
  <si>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</si>
  <si>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</si>
  <si>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</si>
  <si>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</si>
  <si>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</si>
  <si>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</si>
  <si>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</si>
  <si>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</si>
  <si>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</si>
  <si>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</si>
  <si>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</si>
  <si>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</si>
  <si>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</si>
  <si>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</si>
  <si>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</si>
  <si>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</si>
  <si>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</si>
  <si>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</si>
  <si>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</si>
  <si>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</si>
  <si>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</si>
  <si>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</si>
  <si>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</si>
  <si>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</si>
  <si>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</si>
  <si>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</si>
  <si>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</si>
  <si>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</si>
  <si>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</si>
  <si>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</si>
  <si>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</si>
  <si>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</si>
  <si>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</si>
  <si>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</si>
  <si>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</si>
  <si>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</si>
  <si>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</si>
  <si>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</si>
  <si>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</si>
  <si>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</si>
  <si>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</si>
  <si>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</si>
  <si>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</si>
  <si>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</si>
  <si>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</si>
  <si>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</si>
  <si>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</si>
  <si>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</si>
  <si>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</si>
  <si>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</si>
  <si>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</si>
  <si>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</si>
  <si>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</si>
  <si>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</si>
  <si>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</si>
  <si>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</si>
  <si>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</si>
  <si>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</si>
  <si>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</si>
  <si>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</si>
  <si>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</si>
  <si>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</si>
  <si>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</si>
  <si>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</si>
  <si>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</si>
  <si>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</si>
  <si>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</si>
  <si>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</si>
  <si>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</si>
  <si>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</si>
  <si>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</si>
  <si>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</si>
  <si>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</si>
  <si>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</si>
  <si>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</si>
  <si>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</si>
  <si>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</si>
  <si>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</si>
  <si>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</si>
  <si>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</si>
  <si>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</si>
  <si>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</si>
  <si>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</si>
  <si>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</si>
  <si>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</si>
  <si>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</si>
  <si>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</si>
  <si>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</si>
  <si>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</si>
  <si>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</si>
  <si>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</si>
  <si>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</si>
  <si>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</si>
  <si>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</si>
  <si>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</si>
  <si>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</si>
  <si>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</si>
  <si>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</si>
  <si>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</si>
  <si>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</si>
  <si>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</si>
  <si>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</si>
  <si>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</si>
  <si>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</si>
  <si>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</si>
  <si>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</si>
  <si>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</si>
  <si>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</si>
  <si>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</si>
  <si>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</si>
  <si>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</si>
  <si>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</si>
  <si>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</si>
  <si>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</si>
  <si>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</si>
  <si>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</si>
  <si>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</si>
  <si>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</si>
  <si>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</si>
  <si>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</si>
  <si>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</si>
  <si>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</si>
  <si>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</si>
  <si>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</si>
  <si>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</si>
  <si>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</si>
  <si>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</si>
  <si>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</si>
  <si>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</si>
  <si>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</si>
  <si>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</si>
  <si>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</si>
  <si>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</si>
  <si>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</si>
  <si>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</si>
  <si>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</si>
  <si>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</si>
  <si>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</si>
  <si>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</si>
  <si>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</si>
  <si>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</si>
  <si>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</si>
  <si>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</si>
  <si>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</si>
  <si>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</si>
  <si>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</si>
  <si>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</si>
  <si>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</si>
  <si>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</si>
  <si>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</si>
  <si>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</si>
  <si>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</si>
  <si>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</si>
  <si>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</si>
  <si>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</si>
  <si>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</si>
  <si>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</si>
  <si>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</si>
  <si>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</si>
  <si>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</si>
  <si>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</si>
  <si>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</si>
  <si>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</si>
  <si>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</si>
  <si>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CN</t>
  </si>
  <si>
    <t>D/P Dividend Yield</t>
    <phoneticPr fontId="20" type="noConversion"/>
  </si>
  <si>
    <t>1475.HK</t>
    <phoneticPr fontId="20" type="noConversion"/>
  </si>
  <si>
    <t>NISSIN FOODS</t>
    <phoneticPr fontId="20" type="noConversion"/>
  </si>
  <si>
    <t>C0002</t>
    <phoneticPr fontId="20" type="noConversion"/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</si>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</sst>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7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topLeftCell="A7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1475.HK : NISSIN FOODS</v>
      </c>
      <c r="D2" s="87"/>
      <c r="E2" s="7"/>
      <c r="F2" s="7"/>
      <c r="G2" s="86"/>
      <c r="H2" s="86"/>
    </row>
    <row r="3" spans="1:10" ht="15.75" customHeight="1" x14ac:dyDescent="0.4">
      <c r="B3" s="3" t="s">
        <v>211</v>
      </c>
      <c r="C3" s="245" t="str">
        <f>Inputs!C4</f>
        <v>1475.HK</v>
      </c>
      <c r="D3" s="246"/>
      <c r="E3" s="87"/>
      <c r="F3" s="3" t="s">
        <v>1</v>
      </c>
      <c r="G3" s="133">
        <v>4.5700001716613796</v>
      </c>
      <c r="H3" s="135" t="s">
        <v>2</v>
      </c>
    </row>
    <row r="4" spans="1:10" ht="15.75" customHeight="1" x14ac:dyDescent="0.4">
      <c r="B4" s="35" t="s">
        <v>212</v>
      </c>
      <c r="C4" s="247" t="str">
        <f>Inputs!C5</f>
        <v>NISSIN FOODS</v>
      </c>
      <c r="D4" s="248"/>
      <c r="E4" s="87"/>
      <c r="F4" s="3" t="s">
        <v>3</v>
      </c>
      <c r="G4" s="251">
        <f>Inputs!C10</f>
        <v>1043691480</v>
      </c>
      <c r="H4" s="251"/>
      <c r="I4" s="39"/>
    </row>
    <row r="5" spans="1:10" ht="15.75" customHeight="1" x14ac:dyDescent="0.4">
      <c r="B5" s="3" t="s">
        <v>175</v>
      </c>
      <c r="C5" s="249">
        <f>Inputs!C6</f>
        <v>45591</v>
      </c>
      <c r="D5" s="250"/>
      <c r="E5" s="34"/>
      <c r="F5" s="35" t="s">
        <v>102</v>
      </c>
      <c r="G5" s="243">
        <f>G3*G4/1000000</f>
        <v>4769.6702427615191</v>
      </c>
      <c r="H5" s="243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4" t="str">
        <f>Inputs!C11</f>
        <v>HKD</v>
      </c>
      <c r="H6" s="244"/>
      <c r="I6" s="38"/>
    </row>
    <row r="7" spans="1:10" ht="15.75" customHeight="1" x14ac:dyDescent="0.4">
      <c r="B7" s="86" t="s">
        <v>209</v>
      </c>
      <c r="C7" s="194" t="str">
        <f>Inputs!C8</f>
        <v>Y</v>
      </c>
      <c r="D7" s="194" t="str">
        <f>Inputs!C9</f>
        <v>C0002</v>
      </c>
      <c r="E7" s="87"/>
      <c r="F7" s="35" t="s">
        <v>6</v>
      </c>
      <c r="G7" s="134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40" t="s">
        <v>207</v>
      </c>
      <c r="F9" s="144" t="s">
        <v>201</v>
      </c>
    </row>
    <row r="10" spans="1:10" ht="15.75" customHeight="1" x14ac:dyDescent="0.4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45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4">
      <c r="B12" s="87" t="s">
        <v>142</v>
      </c>
      <c r="C12" s="180">
        <v>0.06</v>
      </c>
      <c r="D12" s="178">
        <v>7.0000000000000007E-2</v>
      </c>
      <c r="F12" s="111"/>
    </row>
    <row r="13" spans="1:10" ht="15.75" customHeight="1" x14ac:dyDescent="0.4"/>
    <row r="14" spans="1:10" ht="15.75" customHeight="1" x14ac:dyDescent="0.4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4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45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4">
      <c r="B17" s="87" t="s">
        <v>196</v>
      </c>
      <c r="C17" s="181">
        <v>0.08</v>
      </c>
      <c r="D17" s="182"/>
    </row>
    <row r="18" spans="1:8" ht="15.75" customHeight="1" x14ac:dyDescent="0.4"/>
    <row r="19" spans="1:8" ht="15.75" customHeight="1" x14ac:dyDescent="0.4">
      <c r="B19" s="143" t="s">
        <v>199</v>
      </c>
      <c r="C19" s="136" t="s">
        <v>52</v>
      </c>
      <c r="D19" s="87"/>
      <c r="E19" s="87"/>
      <c r="F19" s="143" t="s">
        <v>232</v>
      </c>
      <c r="G19" s="87"/>
      <c r="H19" s="87"/>
    </row>
    <row r="20" spans="1:8" ht="15.75" customHeight="1" x14ac:dyDescent="0.4">
      <c r="B20" s="138" t="s">
        <v>181</v>
      </c>
      <c r="C20" s="177">
        <f>Fin_Analysis!I75</f>
        <v>0.66005868735054896</v>
      </c>
      <c r="F20" s="87" t="s">
        <v>231</v>
      </c>
      <c r="G20" s="178">
        <v>0.15</v>
      </c>
    </row>
    <row r="21" spans="1:8" ht="15.75" customHeight="1" x14ac:dyDescent="0.4">
      <c r="B21" s="138" t="s">
        <v>182</v>
      </c>
      <c r="C21" s="177">
        <f>Fin_Analysis!I77</f>
        <v>0.20403193785652382</v>
      </c>
      <c r="F21" s="87"/>
      <c r="G21" s="29"/>
    </row>
    <row r="22" spans="1:8" ht="15.75" customHeight="1" x14ac:dyDescent="0.4">
      <c r="B22" s="138" t="s">
        <v>183</v>
      </c>
      <c r="C22" s="177">
        <f>Fin_Analysis!I79</f>
        <v>7.0437342852983705E-5</v>
      </c>
      <c r="F22" s="143" t="s">
        <v>200</v>
      </c>
    </row>
    <row r="23" spans="1:8" ht="15.75" customHeight="1" x14ac:dyDescent="0.4">
      <c r="B23" s="138" t="s">
        <v>184</v>
      </c>
      <c r="C23" s="177">
        <f>Fin_Analysis!I80</f>
        <v>0.02</v>
      </c>
      <c r="F23" s="141" t="s">
        <v>204</v>
      </c>
      <c r="G23" s="183">
        <f>G3/(Data!C36*Data!C4/Common_Shares*Exchange_Rate)</f>
        <v>1.3010117068493916</v>
      </c>
    </row>
    <row r="24" spans="1:8" ht="15.75" customHeight="1" x14ac:dyDescent="0.4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6.9352769303498207E-2</v>
      </c>
    </row>
    <row r="25" spans="1:8" ht="15.75" customHeight="1" x14ac:dyDescent="0.4">
      <c r="B25" s="138" t="s">
        <v>208</v>
      </c>
      <c r="C25" s="177">
        <f>Fin_Analysis!I82</f>
        <v>7.7741956185885708E-4</v>
      </c>
      <c r="F25" s="141" t="s">
        <v>188</v>
      </c>
      <c r="G25" s="177">
        <f>Fin_Analysis!I88</f>
        <v>0.49914468998201406</v>
      </c>
    </row>
    <row r="26" spans="1:8" ht="15.75" customHeight="1" x14ac:dyDescent="0.4">
      <c r="B26" s="139" t="s">
        <v>187</v>
      </c>
      <c r="C26" s="177">
        <f>Fin_Analysis!I83</f>
        <v>0.11506151788821542</v>
      </c>
      <c r="F26" s="142" t="s">
        <v>210</v>
      </c>
      <c r="G26" s="184">
        <f>Fin_Analysis!H88*Exchange_Rate/G3</f>
        <v>3.4617066533388752E-2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1" t="str">
        <f>Fin_Analysis!H96</f>
        <v>Base Case</v>
      </c>
      <c r="H28" s="241"/>
    </row>
    <row r="29" spans="1:8" ht="15.75" customHeight="1" x14ac:dyDescent="0.4">
      <c r="B29" s="87" t="s">
        <v>180</v>
      </c>
      <c r="C29" s="131">
        <f>IF(Fin_Analysis!C108="Profit",Fin_Analysis!E100,IF(Fin_Analysis!C108="Dividend",Fin_Analysis!E103,Fin_Analysis!E106))</f>
        <v>3.2946359094122419</v>
      </c>
      <c r="D29" s="130">
        <f>IF(Fin_Analysis!C108="Profit",Fin_Analysis!I100,IF(Fin_Analysis!C108="Dividend",Fin_Analysis!I103,Fin_Analysis!I106))</f>
        <v>6.0418083914830332</v>
      </c>
      <c r="E29" s="87"/>
      <c r="F29" s="132">
        <f>IF(Fin_Analysis!C108="Profit",Fin_Analysis!F100,IF(Fin_Analysis!C108="Dividend",Fin_Analysis!F103,Fin_Analysis!F106))</f>
        <v>4.1797988886812538</v>
      </c>
      <c r="G29" s="242">
        <f>IF(Fin_Analysis!C108="Profit",Fin_Analysis!H100,IF(Fin_Analysis!C108="Dividend",Fin_Analysis!H103,Fin_Analysis!H106))</f>
        <v>4.8334467131864267</v>
      </c>
      <c r="H29" s="242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F6" sqref="F6"/>
    </sheetView>
  </sheetViews>
  <sheetFormatPr defaultRowHeight="12.75" x14ac:dyDescent="0.35"/>
  <cols>
    <col min="1" max="1" width="3.06640625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235</v>
      </c>
    </row>
    <row r="4" spans="1:6" ht="13.9" x14ac:dyDescent="0.4">
      <c r="B4" s="142" t="s">
        <v>211</v>
      </c>
      <c r="C4" s="195" t="s">
        <v>245</v>
      </c>
      <c r="E4" s="240" t="s">
        <v>227</v>
      </c>
      <c r="F4" s="12" t="str">
        <f>C11</f>
        <v>HKD</v>
      </c>
    </row>
    <row r="5" spans="1:6" ht="13.9" x14ac:dyDescent="0.4">
      <c r="B5" s="142" t="s">
        <v>212</v>
      </c>
      <c r="C5" s="198" t="s">
        <v>246</v>
      </c>
      <c r="E5" s="231">
        <f>C18</f>
        <v>45291</v>
      </c>
      <c r="F5" s="232">
        <v>0.15820000000000001</v>
      </c>
    </row>
    <row r="6" spans="1:6" ht="13.9" x14ac:dyDescent="0.4">
      <c r="B6" s="142" t="s">
        <v>175</v>
      </c>
      <c r="C6" s="196">
        <v>45591</v>
      </c>
      <c r="E6" s="233" t="s">
        <v>225</v>
      </c>
      <c r="F6" s="232">
        <f>F5</f>
        <v>0.15820000000000001</v>
      </c>
    </row>
    <row r="7" spans="1:6" ht="13.9" x14ac:dyDescent="0.4">
      <c r="B7" s="141" t="s">
        <v>4</v>
      </c>
      <c r="C7" s="197">
        <v>8</v>
      </c>
    </row>
    <row r="8" spans="1:6" ht="13.9" x14ac:dyDescent="0.4">
      <c r="B8" s="141" t="s">
        <v>236</v>
      </c>
      <c r="C8" s="198" t="s">
        <v>46</v>
      </c>
    </row>
    <row r="9" spans="1:6" ht="13.9" x14ac:dyDescent="0.4">
      <c r="B9" s="141" t="s">
        <v>237</v>
      </c>
      <c r="C9" s="199" t="s">
        <v>247</v>
      </c>
    </row>
    <row r="10" spans="1:6" ht="13.9" x14ac:dyDescent="0.4">
      <c r="B10" s="141" t="s">
        <v>238</v>
      </c>
      <c r="C10" s="200">
        <v>1043691480</v>
      </c>
    </row>
    <row r="11" spans="1:6" ht="13.9" x14ac:dyDescent="0.4">
      <c r="B11" s="141" t="s">
        <v>239</v>
      </c>
      <c r="C11" s="199" t="s">
        <v>2</v>
      </c>
    </row>
    <row r="12" spans="1:6" ht="13.9" x14ac:dyDescent="0.4">
      <c r="B12" s="227" t="s">
        <v>10</v>
      </c>
      <c r="C12" s="228">
        <v>45291</v>
      </c>
    </row>
    <row r="13" spans="1:6" ht="13.9" x14ac:dyDescent="0.4">
      <c r="B13" s="227" t="s">
        <v>11</v>
      </c>
      <c r="C13" s="229">
        <v>1000</v>
      </c>
    </row>
    <row r="14" spans="1:6" ht="13.9" x14ac:dyDescent="0.4">
      <c r="B14" s="227" t="s">
        <v>241</v>
      </c>
      <c r="C14" s="228">
        <v>45473</v>
      </c>
    </row>
    <row r="15" spans="1:6" ht="13.9" x14ac:dyDescent="0.4">
      <c r="B15" s="227" t="s">
        <v>240</v>
      </c>
      <c r="C15" s="182" t="s">
        <v>243</v>
      </c>
    </row>
    <row r="16" spans="1:6" ht="13.9" x14ac:dyDescent="0.4">
      <c r="B16" s="234" t="s">
        <v>98</v>
      </c>
      <c r="C16" s="235">
        <v>0.25</v>
      </c>
      <c r="D16" s="24"/>
    </row>
    <row r="18" spans="2:13" ht="13.9" x14ac:dyDescent="0.4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2">
        <v>3833194</v>
      </c>
      <c r="D19" s="152">
        <v>4067732</v>
      </c>
      <c r="E19" s="152">
        <v>3866335</v>
      </c>
      <c r="F19" s="152">
        <v>3518847</v>
      </c>
      <c r="G19" s="152">
        <v>3087781</v>
      </c>
      <c r="H19" s="152">
        <v>2998828</v>
      </c>
      <c r="I19" s="152">
        <v>2902271</v>
      </c>
      <c r="J19" s="152">
        <v>2629905</v>
      </c>
      <c r="K19" s="152"/>
      <c r="L19" s="152"/>
      <c r="M19" s="152"/>
    </row>
    <row r="20" spans="2:13" ht="13.9" x14ac:dyDescent="0.4">
      <c r="B20" s="97" t="s">
        <v>109</v>
      </c>
      <c r="C20" s="153">
        <v>2530133</v>
      </c>
      <c r="D20" s="153">
        <v>2764937</v>
      </c>
      <c r="E20" s="153">
        <v>2639016</v>
      </c>
      <c r="F20" s="153">
        <v>2360170</v>
      </c>
      <c r="G20" s="153">
        <v>2074351</v>
      </c>
      <c r="H20" s="153">
        <v>2065429</v>
      </c>
      <c r="I20" s="153">
        <v>1867706</v>
      </c>
      <c r="J20" s="153">
        <v>1588722</v>
      </c>
      <c r="K20" s="153"/>
      <c r="L20" s="153"/>
      <c r="M20" s="153"/>
    </row>
    <row r="21" spans="2:13" ht="13.9" x14ac:dyDescent="0.4">
      <c r="B21" s="97" t="s">
        <v>107</v>
      </c>
      <c r="C21" s="153">
        <v>829721</v>
      </c>
      <c r="D21" s="153">
        <v>842779</v>
      </c>
      <c r="E21" s="153">
        <v>769862</v>
      </c>
      <c r="F21" s="153">
        <v>714686</v>
      </c>
      <c r="G21" s="153">
        <v>676867</v>
      </c>
      <c r="H21" s="153">
        <v>648594</v>
      </c>
      <c r="I21" s="153">
        <v>767003</v>
      </c>
      <c r="J21" s="153">
        <v>750812</v>
      </c>
      <c r="K21" s="153"/>
      <c r="L21" s="153"/>
      <c r="M21" s="153"/>
    </row>
    <row r="22" spans="2:13" ht="13.9" x14ac:dyDescent="0.4">
      <c r="B22" s="97" t="s">
        <v>108</v>
      </c>
      <c r="C22" s="153">
        <v>47627</v>
      </c>
      <c r="D22" s="153">
        <v>45913</v>
      </c>
      <c r="E22" s="153">
        <v>50573</v>
      </c>
      <c r="F22" s="153">
        <v>36563</v>
      </c>
      <c r="G22" s="153">
        <v>23174</v>
      </c>
      <c r="H22" s="153">
        <v>17650</v>
      </c>
      <c r="I22" s="153">
        <v>20113</v>
      </c>
      <c r="J22" s="153">
        <v>21618</v>
      </c>
      <c r="K22" s="153"/>
      <c r="L22" s="153"/>
      <c r="M22" s="153"/>
    </row>
    <row r="23" spans="2:13" ht="13.9" x14ac:dyDescent="0.4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7" t="s">
        <v>111</v>
      </c>
      <c r="C24" s="153">
        <v>329600</v>
      </c>
      <c r="D24" s="153">
        <v>634000</v>
      </c>
      <c r="E24" s="153">
        <v>315900</v>
      </c>
      <c r="F24" s="153">
        <v>259700</v>
      </c>
      <c r="G24" s="153">
        <v>283600</v>
      </c>
      <c r="H24" s="153">
        <v>215300</v>
      </c>
      <c r="I24" s="153">
        <v>259700</v>
      </c>
      <c r="J24" s="153">
        <v>467600</v>
      </c>
      <c r="K24" s="153"/>
      <c r="L24" s="153"/>
      <c r="M24" s="153"/>
    </row>
    <row r="25" spans="2:13" ht="13.9" x14ac:dyDescent="0.4">
      <c r="B25" s="97" t="s">
        <v>113</v>
      </c>
      <c r="C25" s="153">
        <v>-212109</v>
      </c>
      <c r="D25" s="153">
        <v>-63909</v>
      </c>
      <c r="E25" s="153">
        <v>-85212</v>
      </c>
      <c r="F25" s="153">
        <v>-137953</v>
      </c>
      <c r="G25" s="153">
        <v>-184857</v>
      </c>
      <c r="H25" s="153">
        <v>-59025</v>
      </c>
      <c r="I25" s="153">
        <v>-13114</v>
      </c>
      <c r="J25" s="153">
        <v>-55207</v>
      </c>
      <c r="K25" s="153"/>
      <c r="L25" s="153"/>
      <c r="M25" s="153"/>
    </row>
    <row r="26" spans="2:13" ht="13.9" x14ac:dyDescent="0.4">
      <c r="B26" s="97" t="s">
        <v>129</v>
      </c>
      <c r="C26" s="153">
        <v>270</v>
      </c>
      <c r="D26" s="153">
        <v>259</v>
      </c>
      <c r="E26" s="153">
        <v>365</v>
      </c>
      <c r="F26" s="153">
        <v>116</v>
      </c>
      <c r="G26" s="153">
        <v>64</v>
      </c>
      <c r="H26" s="153">
        <v>0</v>
      </c>
      <c r="I26" s="153">
        <v>0</v>
      </c>
      <c r="J26" s="153">
        <v>0</v>
      </c>
      <c r="K26" s="153"/>
      <c r="L26" s="153"/>
      <c r="M26" s="153"/>
    </row>
    <row r="27" spans="2:13" ht="13.9" x14ac:dyDescent="0.4">
      <c r="B27" s="99" t="s">
        <v>114</v>
      </c>
      <c r="C27" s="153">
        <v>2980</v>
      </c>
      <c r="D27" s="153">
        <v>30135</v>
      </c>
      <c r="E27" s="153">
        <v>35414</v>
      </c>
      <c r="F27" s="153">
        <v>30652</v>
      </c>
      <c r="G27" s="153">
        <v>27954</v>
      </c>
      <c r="H27" s="153">
        <v>25134</v>
      </c>
      <c r="I27" s="153">
        <v>25097</v>
      </c>
      <c r="J27" s="153">
        <v>16390</v>
      </c>
      <c r="K27" s="153"/>
      <c r="L27" s="153"/>
      <c r="M27" s="153"/>
    </row>
    <row r="28" spans="2:13" ht="13.9" x14ac:dyDescent="0.4">
      <c r="B28" s="94" t="s">
        <v>15</v>
      </c>
      <c r="C28" s="226"/>
      <c r="D28" s="153">
        <v>2504156</v>
      </c>
      <c r="E28" s="153">
        <v>3108899</v>
      </c>
      <c r="F28" s="153">
        <v>3296593</v>
      </c>
      <c r="G28" s="153">
        <v>2995218</v>
      </c>
      <c r="H28" s="153">
        <v>2922746</v>
      </c>
      <c r="I28" s="153">
        <v>2928529</v>
      </c>
      <c r="J28" s="153">
        <v>2035257</v>
      </c>
      <c r="K28" s="153"/>
      <c r="L28" s="153"/>
      <c r="M28" s="153"/>
    </row>
    <row r="29" spans="2:13" ht="13.9" x14ac:dyDescent="0.4">
      <c r="B29" s="94" t="s">
        <v>121</v>
      </c>
      <c r="C29" s="226"/>
      <c r="D29" s="153">
        <v>372854</v>
      </c>
      <c r="E29" s="153">
        <v>475382</v>
      </c>
      <c r="F29" s="153">
        <v>508545</v>
      </c>
      <c r="G29" s="153">
        <v>421056</v>
      </c>
      <c r="H29" s="153">
        <v>449932</v>
      </c>
      <c r="I29" s="153">
        <v>420626</v>
      </c>
      <c r="J29" s="153">
        <v>296371</v>
      </c>
      <c r="K29" s="153"/>
      <c r="L29" s="153"/>
      <c r="M29" s="153"/>
    </row>
    <row r="30" spans="2:13" ht="13.9" x14ac:dyDescent="0.4">
      <c r="B30" s="94" t="s">
        <v>159</v>
      </c>
      <c r="C30" s="226"/>
      <c r="D30" s="153">
        <v>415015</v>
      </c>
      <c r="E30" s="153">
        <v>464999</v>
      </c>
      <c r="F30" s="153">
        <v>363144</v>
      </c>
      <c r="G30" s="153">
        <v>326593</v>
      </c>
      <c r="H30" s="153">
        <v>294086</v>
      </c>
      <c r="I30" s="153">
        <v>290728</v>
      </c>
      <c r="J30" s="153">
        <v>215131</v>
      </c>
      <c r="K30" s="153"/>
      <c r="L30" s="153"/>
      <c r="M30" s="153"/>
    </row>
    <row r="31" spans="2:13" ht="13.9" x14ac:dyDescent="0.4">
      <c r="B31" s="94" t="s">
        <v>16</v>
      </c>
      <c r="C31" s="226"/>
      <c r="D31" s="153">
        <v>896185</v>
      </c>
      <c r="E31" s="153">
        <v>1060434</v>
      </c>
      <c r="F31" s="153">
        <v>1065331</v>
      </c>
      <c r="G31" s="153">
        <v>859227</v>
      </c>
      <c r="H31" s="153">
        <v>796096</v>
      </c>
      <c r="I31" s="153"/>
      <c r="J31" s="153"/>
      <c r="K31" s="153"/>
      <c r="L31" s="153"/>
      <c r="M31" s="153"/>
    </row>
    <row r="32" spans="2:13" ht="13.9" x14ac:dyDescent="0.4">
      <c r="B32" s="94" t="s">
        <v>120</v>
      </c>
      <c r="C32" s="226"/>
      <c r="D32" s="153">
        <v>112845</v>
      </c>
      <c r="E32" s="153">
        <v>82874</v>
      </c>
      <c r="F32" s="153">
        <v>75361</v>
      </c>
      <c r="G32" s="153">
        <v>62385</v>
      </c>
      <c r="H32" s="153">
        <v>53103</v>
      </c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>
        <v>8558</v>
      </c>
      <c r="E33" s="153">
        <v>5576</v>
      </c>
      <c r="F33" s="153">
        <v>7278</v>
      </c>
      <c r="G33" s="153">
        <v>1660</v>
      </c>
      <c r="H33" s="153">
        <v>0</v>
      </c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>
        <v>1113</v>
      </c>
      <c r="E34" s="153">
        <v>5636</v>
      </c>
      <c r="F34" s="153">
        <v>9396</v>
      </c>
      <c r="G34" s="153">
        <v>131</v>
      </c>
      <c r="H34" s="153">
        <v>0</v>
      </c>
      <c r="I34" s="153"/>
      <c r="J34" s="153"/>
      <c r="K34" s="153"/>
      <c r="L34" s="153"/>
      <c r="M34" s="153"/>
    </row>
    <row r="35" spans="2:13" ht="13.9" x14ac:dyDescent="0.4">
      <c r="B35" s="94" t="s">
        <v>148</v>
      </c>
      <c r="C35" s="226"/>
      <c r="D35" s="153">
        <v>3674703</v>
      </c>
      <c r="E35" s="153">
        <v>4116261</v>
      </c>
      <c r="F35" s="153">
        <v>4043183</v>
      </c>
      <c r="G35" s="153">
        <v>3712318</v>
      </c>
      <c r="H35" s="153">
        <v>3595173</v>
      </c>
      <c r="I35" s="153"/>
      <c r="J35" s="153"/>
      <c r="K35" s="153"/>
      <c r="L35" s="153"/>
      <c r="M35" s="153"/>
    </row>
    <row r="36" spans="2:13" ht="13.9" x14ac:dyDescent="0.4">
      <c r="B36" s="94" t="s">
        <v>149</v>
      </c>
      <c r="C36" s="226"/>
      <c r="D36" s="153">
        <v>43262</v>
      </c>
      <c r="E36" s="153">
        <v>165622</v>
      </c>
      <c r="F36" s="153">
        <v>143504</v>
      </c>
      <c r="G36" s="153">
        <v>122753</v>
      </c>
      <c r="H36" s="153">
        <v>114637</v>
      </c>
      <c r="I36" s="153"/>
      <c r="J36" s="153"/>
      <c r="K36" s="153"/>
      <c r="L36" s="153"/>
      <c r="M36" s="153"/>
    </row>
    <row r="37" spans="2:13" ht="13.9" x14ac:dyDescent="0.4">
      <c r="B37" s="94" t="s">
        <v>147</v>
      </c>
      <c r="C37" s="226"/>
      <c r="D37" s="153">
        <v>1696980</v>
      </c>
      <c r="E37" s="153">
        <v>2130407</v>
      </c>
      <c r="F37" s="153">
        <v>2344902</v>
      </c>
      <c r="G37" s="153">
        <v>2164713</v>
      </c>
      <c r="H37" s="153">
        <v>2079261</v>
      </c>
      <c r="I37" s="153"/>
      <c r="J37" s="153"/>
      <c r="K37" s="153"/>
      <c r="L37" s="153"/>
      <c r="M37" s="153"/>
    </row>
    <row r="39" spans="2:13" ht="13.9" x14ac:dyDescent="0.4">
      <c r="B39" s="203" t="s">
        <v>33</v>
      </c>
      <c r="C39" s="201" t="s">
        <v>34</v>
      </c>
      <c r="D39" s="201" t="s">
        <v>213</v>
      </c>
      <c r="E39" s="112" t="s">
        <v>36</v>
      </c>
    </row>
    <row r="40" spans="2:13" ht="13.9" x14ac:dyDescent="0.4">
      <c r="B40" s="3" t="s">
        <v>38</v>
      </c>
      <c r="C40" s="59">
        <v>1322113</v>
      </c>
      <c r="D40" s="60">
        <v>0.9</v>
      </c>
      <c r="E40" s="113"/>
    </row>
    <row r="41" spans="2:13" ht="13.9" x14ac:dyDescent="0.4">
      <c r="B41" s="1" t="s">
        <v>146</v>
      </c>
      <c r="C41" s="59"/>
      <c r="D41" s="60">
        <v>0.8</v>
      </c>
      <c r="E41" s="113"/>
    </row>
    <row r="42" spans="2:13" ht="13.9" x14ac:dyDescent="0.4">
      <c r="B42" s="3" t="s">
        <v>121</v>
      </c>
      <c r="C42" s="59">
        <v>422018</v>
      </c>
      <c r="D42" s="60">
        <f>D43</f>
        <v>0.6</v>
      </c>
      <c r="E42" s="113"/>
    </row>
    <row r="43" spans="2:13" ht="13.9" x14ac:dyDescent="0.4">
      <c r="B43" s="3" t="s">
        <v>42</v>
      </c>
      <c r="C43" s="59">
        <v>221617</v>
      </c>
      <c r="D43" s="60">
        <v>0.6</v>
      </c>
      <c r="E43" s="113"/>
    </row>
    <row r="44" spans="2:13" ht="13.9" x14ac:dyDescent="0.4">
      <c r="B44" s="3" t="s">
        <v>44</v>
      </c>
      <c r="C44" s="59"/>
      <c r="D44" s="60">
        <v>0.5</v>
      </c>
      <c r="E44" s="113"/>
    </row>
    <row r="45" spans="2:13" ht="13.9" x14ac:dyDescent="0.4">
      <c r="B45" s="1" t="s">
        <v>170</v>
      </c>
      <c r="C45" s="59"/>
      <c r="D45" s="60">
        <f>D42</f>
        <v>0.6</v>
      </c>
      <c r="E45" s="113"/>
    </row>
    <row r="46" spans="2:13" ht="13.9" x14ac:dyDescent="0.4">
      <c r="B46" s="3" t="s">
        <v>122</v>
      </c>
      <c r="C46" s="59">
        <v>63587</v>
      </c>
      <c r="D46" s="60">
        <v>0.1</v>
      </c>
      <c r="E46" s="113"/>
    </row>
    <row r="47" spans="2:13" ht="13.9" x14ac:dyDescent="0.4">
      <c r="B47" s="3" t="s">
        <v>47</v>
      </c>
      <c r="C47" s="59">
        <v>370793</v>
      </c>
      <c r="D47" s="60">
        <f>D44</f>
        <v>0.5</v>
      </c>
      <c r="E47" s="113"/>
    </row>
    <row r="48" spans="2:13" ht="13.9" x14ac:dyDescent="0.4">
      <c r="B48" s="1" t="s">
        <v>48</v>
      </c>
      <c r="C48" s="59"/>
      <c r="D48" s="60">
        <f>D42</f>
        <v>0.6</v>
      </c>
      <c r="E48" s="230" t="s">
        <v>71</v>
      </c>
    </row>
    <row r="49" spans="2:5" ht="13.9" x14ac:dyDescent="0.4">
      <c r="B49" s="3" t="s">
        <v>124</v>
      </c>
      <c r="C49" s="59"/>
      <c r="D49" s="60">
        <v>0.6</v>
      </c>
      <c r="E49" s="230" t="s">
        <v>46</v>
      </c>
    </row>
    <row r="50" spans="2:5" ht="13.9" x14ac:dyDescent="0.4">
      <c r="B50" s="3" t="s">
        <v>50</v>
      </c>
      <c r="C50" s="59">
        <v>22411</v>
      </c>
      <c r="D50" s="60">
        <f>D40</f>
        <v>0.9</v>
      </c>
      <c r="E50" s="113"/>
    </row>
    <row r="51" spans="2:5" ht="13.9" x14ac:dyDescent="0.4">
      <c r="B51" s="35" t="s">
        <v>51</v>
      </c>
      <c r="C51" s="121"/>
      <c r="D51" s="202">
        <f>D62</f>
        <v>0.05</v>
      </c>
      <c r="E51" s="113"/>
    </row>
    <row r="52" spans="2:5" ht="13.9" x14ac:dyDescent="0.4">
      <c r="B52" s="3" t="s">
        <v>61</v>
      </c>
      <c r="C52" s="59"/>
      <c r="D52" s="60">
        <f>D41</f>
        <v>0.8</v>
      </c>
      <c r="E52" s="113"/>
    </row>
    <row r="53" spans="2:5" ht="13.9" x14ac:dyDescent="0.4">
      <c r="B53" s="3" t="s">
        <v>63</v>
      </c>
      <c r="C53" s="59">
        <v>39731</v>
      </c>
      <c r="D53" s="60">
        <f>D43</f>
        <v>0.6</v>
      </c>
      <c r="E53" s="113"/>
    </row>
    <row r="54" spans="2:5" ht="13.9" x14ac:dyDescent="0.4">
      <c r="B54" s="3" t="s">
        <v>65</v>
      </c>
      <c r="C54" s="59"/>
      <c r="D54" s="60">
        <f>D44</f>
        <v>0.5</v>
      </c>
      <c r="E54" s="113"/>
    </row>
    <row r="55" spans="2:5" ht="13.9" x14ac:dyDescent="0.4">
      <c r="B55" s="1" t="s">
        <v>171</v>
      </c>
      <c r="C55" s="59"/>
      <c r="D55" s="60">
        <f>D54</f>
        <v>0.5</v>
      </c>
      <c r="E55" s="113"/>
    </row>
    <row r="56" spans="2:5" ht="13.9" x14ac:dyDescent="0.4">
      <c r="B56" s="3" t="s">
        <v>68</v>
      </c>
      <c r="C56" s="59"/>
      <c r="D56" s="60">
        <v>0.4</v>
      </c>
      <c r="E56" s="113"/>
    </row>
    <row r="57" spans="2:5" ht="13.9" x14ac:dyDescent="0.4">
      <c r="B57" s="3" t="s">
        <v>70</v>
      </c>
      <c r="C57" s="59">
        <v>85171</v>
      </c>
      <c r="D57" s="60">
        <v>0.1</v>
      </c>
      <c r="E57" s="230" t="s">
        <v>71</v>
      </c>
    </row>
    <row r="58" spans="2:5" ht="13.9" x14ac:dyDescent="0.4">
      <c r="B58" s="3" t="s">
        <v>72</v>
      </c>
      <c r="C58" s="59"/>
      <c r="D58" s="60">
        <v>0.2</v>
      </c>
      <c r="E58" s="230" t="s">
        <v>71</v>
      </c>
    </row>
    <row r="59" spans="2:5" ht="13.9" x14ac:dyDescent="0.4">
      <c r="B59" s="1" t="s">
        <v>49</v>
      </c>
      <c r="C59" s="59"/>
      <c r="D59" s="60">
        <f>D57</f>
        <v>0.1</v>
      </c>
      <c r="E59" s="230" t="s">
        <v>46</v>
      </c>
    </row>
    <row r="60" spans="2:5" ht="13.9" x14ac:dyDescent="0.4">
      <c r="B60" s="3" t="s">
        <v>123</v>
      </c>
      <c r="C60" s="59">
        <v>1863998</v>
      </c>
      <c r="D60" s="60">
        <f>D57</f>
        <v>0.1</v>
      </c>
      <c r="E60" s="113"/>
    </row>
    <row r="61" spans="2:5" ht="13.9" x14ac:dyDescent="0.4">
      <c r="B61" s="3" t="s">
        <v>73</v>
      </c>
      <c r="C61" s="59"/>
      <c r="D61" s="60">
        <f>D62</f>
        <v>0.05</v>
      </c>
      <c r="E61" s="113"/>
    </row>
    <row r="62" spans="2:5" ht="13.9" x14ac:dyDescent="0.4">
      <c r="B62" s="3" t="s">
        <v>74</v>
      </c>
      <c r="C62" s="59">
        <v>23958</v>
      </c>
      <c r="D62" s="60">
        <v>0.05</v>
      </c>
      <c r="E62" s="113"/>
    </row>
    <row r="63" spans="2:5" ht="13.9" x14ac:dyDescent="0.4">
      <c r="B63" s="3" t="s">
        <v>75</v>
      </c>
      <c r="C63" s="59">
        <v>71331</v>
      </c>
      <c r="D63" s="60">
        <f>D50</f>
        <v>0.9</v>
      </c>
      <c r="E63" s="113"/>
    </row>
    <row r="64" spans="2:5" ht="13.9" x14ac:dyDescent="0.4">
      <c r="B64" s="3" t="s">
        <v>76</v>
      </c>
      <c r="C64" s="59">
        <v>62618</v>
      </c>
      <c r="D64" s="60">
        <v>0</v>
      </c>
      <c r="E64" s="113"/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/>
    </row>
    <row r="67" spans="2:3" ht="13.9" x14ac:dyDescent="0.4">
      <c r="B67" s="3" t="s">
        <v>40</v>
      </c>
      <c r="C67" s="59">
        <v>5523</v>
      </c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1"/>
    </row>
    <row r="70" spans="2:3" ht="14.25" thickBot="1" x14ac:dyDescent="0.45">
      <c r="B70" s="80" t="s">
        <v>16</v>
      </c>
      <c r="C70" s="83">
        <v>803015</v>
      </c>
    </row>
    <row r="71" spans="2:3" ht="14.25" thickTop="1" x14ac:dyDescent="0.4">
      <c r="B71" s="3" t="s">
        <v>62</v>
      </c>
      <c r="C71" s="59"/>
    </row>
    <row r="72" spans="2:3" ht="13.9" x14ac:dyDescent="0.4">
      <c r="B72" s="3" t="s">
        <v>64</v>
      </c>
      <c r="C72" s="59">
        <v>2115</v>
      </c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/>
    </row>
    <row r="75" spans="2:3" ht="14.25" thickBot="1" x14ac:dyDescent="0.45">
      <c r="B75" s="80" t="s">
        <v>85</v>
      </c>
      <c r="C75" s="83">
        <v>100207</v>
      </c>
    </row>
    <row r="76" spans="2:3" ht="14.25" thickTop="1" x14ac:dyDescent="0.4">
      <c r="B76" s="73" t="s">
        <v>242</v>
      </c>
      <c r="C76" s="59">
        <v>3620511</v>
      </c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40" sqref="C4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45291</v>
      </c>
      <c r="E3" s="149" t="s">
        <v>219</v>
      </c>
      <c r="F3" s="85">
        <f>H19</f>
        <v>251293</v>
      </c>
      <c r="G3" s="85">
        <f>C19</f>
        <v>469096.66666666669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1000</v>
      </c>
      <c r="D4" s="1" t="str">
        <f>Dashboard!G6</f>
        <v>HKD</v>
      </c>
      <c r="E4" s="149" t="s">
        <v>220</v>
      </c>
      <c r="F4" s="93">
        <f>(G3/F3)^(1/H3)-1</f>
        <v>0.10963545790562135</v>
      </c>
      <c r="J4" s="87"/>
    </row>
    <row r="5" spans="1:14" ht="15.75" customHeight="1" x14ac:dyDescent="0.4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9">
        <f>IF(Inputs!C19=""," ",Inputs!C19)</f>
        <v>3833194</v>
      </c>
      <c r="D6" s="209">
        <f>IF(Inputs!D19="","",Inputs!D19)</f>
        <v>4067732</v>
      </c>
      <c r="E6" s="209">
        <f>IF(Inputs!E19="","",Inputs!E19)</f>
        <v>3866335</v>
      </c>
      <c r="F6" s="209">
        <f>IF(Inputs!F19="","",Inputs!F19)</f>
        <v>3518847</v>
      </c>
      <c r="G6" s="209">
        <f>IF(Inputs!G19="","",Inputs!G19)</f>
        <v>3087781</v>
      </c>
      <c r="H6" s="209">
        <f>IF(Inputs!H19="","",Inputs!H19)</f>
        <v>2998828</v>
      </c>
      <c r="I6" s="209">
        <f>IF(Inputs!I19="","",Inputs!I19)</f>
        <v>2902271</v>
      </c>
      <c r="J6" s="209">
        <f>IF(Inputs!J19="","",Inputs!J19)</f>
        <v>2629905</v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-5.7658174137332541E-2</v>
      </c>
      <c r="D7" s="92">
        <f t="shared" si="1"/>
        <v>5.2089899090482339E-2</v>
      </c>
      <c r="E7" s="92">
        <f t="shared" si="1"/>
        <v>9.8750528227001588E-2</v>
      </c>
      <c r="F7" s="92">
        <f t="shared" si="1"/>
        <v>0.13960381257608612</v>
      </c>
      <c r="G7" s="92">
        <f t="shared" si="1"/>
        <v>2.9662588184450778E-2</v>
      </c>
      <c r="H7" s="92">
        <f t="shared" si="1"/>
        <v>3.3269463809547872E-2</v>
      </c>
      <c r="I7" s="92">
        <f t="shared" si="1"/>
        <v>0.10356495766957363</v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109</v>
      </c>
      <c r="C8" s="208">
        <f>IF(Inputs!C20="","",Inputs!C20)</f>
        <v>2530133</v>
      </c>
      <c r="D8" s="208">
        <f>IF(Inputs!D20="","",Inputs!D20)</f>
        <v>2764937</v>
      </c>
      <c r="E8" s="208">
        <f>IF(Inputs!E20="","",Inputs!E20)</f>
        <v>2639016</v>
      </c>
      <c r="F8" s="208">
        <f>IF(Inputs!F20="","",Inputs!F20)</f>
        <v>2360170</v>
      </c>
      <c r="G8" s="208">
        <f>IF(Inputs!G20="","",Inputs!G20)</f>
        <v>2074351</v>
      </c>
      <c r="H8" s="208">
        <f>IF(Inputs!H20="","",Inputs!H20)</f>
        <v>2065429</v>
      </c>
      <c r="I8" s="208">
        <f>IF(Inputs!I20="","",Inputs!I20)</f>
        <v>1867706</v>
      </c>
      <c r="J8" s="208">
        <f>IF(Inputs!J20="","",Inputs!J20)</f>
        <v>1588722</v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105</v>
      </c>
      <c r="C9" s="154">
        <f t="shared" ref="C9:M9" si="2">IF(C6="","",(C6-C8))</f>
        <v>1303061</v>
      </c>
      <c r="D9" s="154">
        <f t="shared" si="2"/>
        <v>1302795</v>
      </c>
      <c r="E9" s="154">
        <f t="shared" si="2"/>
        <v>1227319</v>
      </c>
      <c r="F9" s="154">
        <f t="shared" si="2"/>
        <v>1158677</v>
      </c>
      <c r="G9" s="154">
        <f t="shared" si="2"/>
        <v>1013430</v>
      </c>
      <c r="H9" s="154">
        <f t="shared" si="2"/>
        <v>933399</v>
      </c>
      <c r="I9" s="154">
        <f t="shared" si="2"/>
        <v>1034565</v>
      </c>
      <c r="J9" s="154">
        <f t="shared" si="2"/>
        <v>1041183</v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107</v>
      </c>
      <c r="C10" s="208">
        <f>IF(Inputs!C21="","",Inputs!C21)</f>
        <v>829721</v>
      </c>
      <c r="D10" s="208">
        <f>IF(Inputs!D21="","",Inputs!D21)</f>
        <v>842779</v>
      </c>
      <c r="E10" s="208">
        <f>IF(Inputs!E21="","",Inputs!E21)</f>
        <v>769862</v>
      </c>
      <c r="F10" s="208">
        <f>IF(Inputs!F21="","",Inputs!F21)</f>
        <v>714686</v>
      </c>
      <c r="G10" s="208">
        <f>IF(Inputs!G21="","",Inputs!G21)</f>
        <v>676867</v>
      </c>
      <c r="H10" s="208">
        <f>IF(Inputs!H21="","",Inputs!H21)</f>
        <v>648594</v>
      </c>
      <c r="I10" s="208">
        <f>IF(Inputs!I21="","",Inputs!I21)</f>
        <v>767003</v>
      </c>
      <c r="J10" s="208">
        <f>IF(Inputs!J21="","",Inputs!J21)</f>
        <v>750812</v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4" t="s">
        <v>100</v>
      </c>
      <c r="C11" s="155">
        <f>IF(OR(C6="",C12=""),"",C12/C6)</f>
        <v>1.2424886400218721E-2</v>
      </c>
      <c r="D11" s="155">
        <f t="shared" ref="D11:M11" si="3">IF(OR(D6="",D12=""),"",D12/D6)</f>
        <v>1.1287125110503839E-2</v>
      </c>
      <c r="E11" s="155">
        <f t="shared" si="3"/>
        <v>1.3080346115895286E-2</v>
      </c>
      <c r="F11" s="155">
        <f t="shared" si="3"/>
        <v>1.0390619427329464E-2</v>
      </c>
      <c r="G11" s="155">
        <f t="shared" si="3"/>
        <v>7.5050659356994554E-3</v>
      </c>
      <c r="H11" s="155">
        <f t="shared" si="3"/>
        <v>5.8856326538234268E-3</v>
      </c>
      <c r="I11" s="155">
        <f t="shared" si="3"/>
        <v>6.9300902637968679E-3</v>
      </c>
      <c r="J11" s="155">
        <f t="shared" si="3"/>
        <v>8.2200687857546181E-3</v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4">
      <c r="A12" s="4"/>
      <c r="B12" s="97" t="s">
        <v>108</v>
      </c>
      <c r="C12" s="208">
        <f>IF(Inputs!C22="","",Inputs!C22)</f>
        <v>47627</v>
      </c>
      <c r="D12" s="208">
        <f>IF(Inputs!D22="","",Inputs!D22)</f>
        <v>45913</v>
      </c>
      <c r="E12" s="208">
        <f>IF(Inputs!E22="","",Inputs!E22)</f>
        <v>50573</v>
      </c>
      <c r="F12" s="208">
        <f>IF(Inputs!F22="","",Inputs!F22)</f>
        <v>36563</v>
      </c>
      <c r="G12" s="208">
        <f>IF(Inputs!G22="","",Inputs!G22)</f>
        <v>23174</v>
      </c>
      <c r="H12" s="208">
        <f>IF(Inputs!H22="","",Inputs!H22)</f>
        <v>17650</v>
      </c>
      <c r="I12" s="208">
        <f>IF(Inputs!I22="","",Inputs!I22)</f>
        <v>20113</v>
      </c>
      <c r="J12" s="208">
        <f>IF(Inputs!J22="","",Inputs!J22)</f>
        <v>21618</v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4">
      <c r="A13" s="4"/>
      <c r="B13" s="98" t="s">
        <v>106</v>
      </c>
      <c r="C13" s="154">
        <f>IF(C6="","",(C9-C10+MAX(C12,0)))</f>
        <v>520967</v>
      </c>
      <c r="D13" s="154">
        <f t="shared" ref="D13:M13" si="4">IF(D6="","",(D9-D10+MAX(D12,0)))</f>
        <v>505929</v>
      </c>
      <c r="E13" s="154">
        <f t="shared" si="4"/>
        <v>508030</v>
      </c>
      <c r="F13" s="154">
        <f t="shared" si="4"/>
        <v>480554</v>
      </c>
      <c r="G13" s="154">
        <f t="shared" si="4"/>
        <v>359737</v>
      </c>
      <c r="H13" s="154">
        <f t="shared" si="4"/>
        <v>302455</v>
      </c>
      <c r="I13" s="154">
        <f t="shared" si="4"/>
        <v>287675</v>
      </c>
      <c r="J13" s="154">
        <f t="shared" si="4"/>
        <v>311989</v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4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4">
      <c r="A15" s="4"/>
      <c r="B15" s="97" t="s">
        <v>111</v>
      </c>
      <c r="C15" s="208">
        <f>IF(Inputs!C24="","",Inputs!C24)</f>
        <v>329600</v>
      </c>
      <c r="D15" s="208">
        <f>IF(Inputs!D24="","",Inputs!D24)</f>
        <v>634000</v>
      </c>
      <c r="E15" s="208">
        <f>IF(Inputs!E24="","",Inputs!E24)</f>
        <v>315900</v>
      </c>
      <c r="F15" s="208">
        <f>IF(Inputs!F24="","",Inputs!F24)</f>
        <v>259700</v>
      </c>
      <c r="G15" s="208">
        <f>IF(Inputs!G24="","",Inputs!G24)</f>
        <v>283600</v>
      </c>
      <c r="H15" s="208">
        <f>IF(Inputs!H24="","",Inputs!H24)</f>
        <v>215300</v>
      </c>
      <c r="I15" s="208">
        <f>IF(Inputs!I24="","",Inputs!I24)</f>
        <v>259700</v>
      </c>
      <c r="J15" s="208">
        <f>IF(Inputs!J24="","",Inputs!J24)</f>
        <v>467600</v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4">
      <c r="A16" s="4"/>
      <c r="B16" s="97" t="s">
        <v>113</v>
      </c>
      <c r="C16" s="208">
        <f>IF(Inputs!C25="","",Inputs!C25)</f>
        <v>-212109</v>
      </c>
      <c r="D16" s="208">
        <f>IF(Inputs!D25="","",Inputs!D25)</f>
        <v>-63909</v>
      </c>
      <c r="E16" s="208">
        <f>IF(Inputs!E25="","",Inputs!E25)</f>
        <v>-85212</v>
      </c>
      <c r="F16" s="208">
        <f>IF(Inputs!F25="","",Inputs!F25)</f>
        <v>-137953</v>
      </c>
      <c r="G16" s="208">
        <f>IF(Inputs!G25="","",Inputs!G25)</f>
        <v>-184857</v>
      </c>
      <c r="H16" s="208">
        <f>IF(Inputs!H25="","",Inputs!H25)</f>
        <v>-59025</v>
      </c>
      <c r="I16" s="208">
        <f>IF(Inputs!I25="","",Inputs!I25)</f>
        <v>-13114</v>
      </c>
      <c r="J16" s="208">
        <f>IF(Inputs!J25="","",Inputs!J25)</f>
        <v>-55207</v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4">
      <c r="A17" s="4"/>
      <c r="B17" s="97" t="s">
        <v>129</v>
      </c>
      <c r="C17" s="208">
        <f>IF(Inputs!C26="","",Inputs!C26)</f>
        <v>270</v>
      </c>
      <c r="D17" s="208">
        <f>IF(Inputs!D26="","",Inputs!D26)</f>
        <v>259</v>
      </c>
      <c r="E17" s="208">
        <f>IF(Inputs!E26="","",Inputs!E26)</f>
        <v>365</v>
      </c>
      <c r="F17" s="208">
        <f>IF(Inputs!F26="","",Inputs!F26)</f>
        <v>116</v>
      </c>
      <c r="G17" s="208">
        <f>IF(Inputs!G26="","",Inputs!G26)</f>
        <v>64</v>
      </c>
      <c r="H17" s="208">
        <f>IF(Inputs!H26="","",Inputs!H26)</f>
        <v>0</v>
      </c>
      <c r="I17" s="208">
        <f>IF(Inputs!I26="","",Inputs!I26)</f>
        <v>0</v>
      </c>
      <c r="J17" s="208">
        <f>IF(Inputs!J26="","",Inputs!J26)</f>
        <v>0</v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4">
      <c r="A18" s="4"/>
      <c r="B18" s="99" t="s">
        <v>114</v>
      </c>
      <c r="C18" s="208">
        <f>IF(Inputs!C27="","",Inputs!C27)</f>
        <v>2980</v>
      </c>
      <c r="D18" s="208">
        <f>IF(Inputs!D27="","",Inputs!D27)</f>
        <v>30135</v>
      </c>
      <c r="E18" s="208">
        <f>IF(Inputs!E27="","",Inputs!E27)</f>
        <v>35414</v>
      </c>
      <c r="F18" s="208">
        <f>IF(Inputs!F27="","",Inputs!F27)</f>
        <v>30652</v>
      </c>
      <c r="G18" s="208">
        <f>IF(Inputs!G27="","",Inputs!G27)</f>
        <v>27954</v>
      </c>
      <c r="H18" s="208">
        <f>IF(Inputs!H27="","",Inputs!H27)</f>
        <v>25134</v>
      </c>
      <c r="I18" s="208">
        <f>IF(Inputs!I27="","",Inputs!I27)</f>
        <v>25097</v>
      </c>
      <c r="J18" s="208">
        <f>IF(Inputs!J27="","",Inputs!J27)</f>
        <v>16390</v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4">
      <c r="A19" s="4"/>
      <c r="B19" s="236" t="s">
        <v>216</v>
      </c>
      <c r="C19" s="237">
        <f>IF(C6="","",C9-C10-MAX(C17,0)-MAX(C18,0)/(1-Fin_Analysis!$I$84))</f>
        <v>469096.66666666669</v>
      </c>
      <c r="D19" s="237">
        <f>IF(D6="","",D9-D10-MAX(D17,0)-MAX(D18,0)/(1-Fin_Analysis!$I$84))</f>
        <v>419577</v>
      </c>
      <c r="E19" s="237">
        <f>IF(E6="","",E9-E10-MAX(E17,0)-MAX(E18,0)/(1-Fin_Analysis!$I$84))</f>
        <v>409873.33333333331</v>
      </c>
      <c r="F19" s="237">
        <f>IF(F6="","",F9-F10-MAX(F17,0)-MAX(F18,0)/(1-Fin_Analysis!$I$84))</f>
        <v>403005.66666666669</v>
      </c>
      <c r="G19" s="237">
        <f>IF(G6="","",G9-G10-MAX(G17,0)-MAX(G18,0)/(1-Fin_Analysis!$I$84))</f>
        <v>299227</v>
      </c>
      <c r="H19" s="237">
        <f>IF(H6="","",H9-H10-MAX(H17,0)-MAX(H18,0)/(1-Fin_Analysis!$I$84))</f>
        <v>251293</v>
      </c>
      <c r="I19" s="237">
        <f>IF(I6="","",I9-I10-MAX(I17,0)-MAX(I18,0)/(1-Fin_Analysis!$I$84))</f>
        <v>234099.33333333334</v>
      </c>
      <c r="J19" s="237">
        <f>IF(J6="","",J9-J10-MAX(J17,0)-MAX(J18,0)/(1-Fin_Analysis!$I$84))</f>
        <v>268517.66666666669</v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4">
      <c r="A20" s="4"/>
      <c r="B20" s="236" t="s">
        <v>217</v>
      </c>
      <c r="C20" s="238">
        <f>IF(D19="","",IF(ABS(C19+D19)=ABS(C19)+ABS(D19),IF(C19&lt;0,-1,1)*(C19-D19)/D19,"Turn"))</f>
        <v>0.11802283410832025</v>
      </c>
      <c r="D20" s="238">
        <f t="shared" ref="D20:M20" si="5">IF(E19="","",IF(ABS(D19+E19)=ABS(D19)+ABS(E19),IF(D19&lt;0,-1,1)*(D19-E19)/E19,"Turn"))</f>
        <v>2.3674793838746978E-2</v>
      </c>
      <c r="E20" s="238">
        <f t="shared" si="5"/>
        <v>1.704111687428703E-2</v>
      </c>
      <c r="F20" s="238">
        <f t="shared" si="5"/>
        <v>0.34682253495395365</v>
      </c>
      <c r="G20" s="238">
        <f t="shared" si="5"/>
        <v>0.19074944387627193</v>
      </c>
      <c r="H20" s="238">
        <f t="shared" si="5"/>
        <v>7.3446030032835022E-2</v>
      </c>
      <c r="I20" s="238">
        <f t="shared" si="5"/>
        <v>-0.12817902732656947</v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4">
      <c r="A21" s="4"/>
      <c r="B21" s="94" t="s">
        <v>115</v>
      </c>
      <c r="C21" s="77">
        <f>IF(C6="","",C13-MAX(C14,0)-MAX(C15,0)-MAX(C16,0)-MAX(C17,0)-MAX(C18,0)/(1-Fin_Analysis!$I$84))</f>
        <v>187123.66666666666</v>
      </c>
      <c r="D21" s="77">
        <f>IF(D6="","",D13-MAX(D14,0)-MAX(D15,0)-MAX(D16,0)-MAX(D17,0)-MAX(D18,0)/(1-Fin_Analysis!$I$84))</f>
        <v>-168510</v>
      </c>
      <c r="E21" s="77">
        <f>IF(E6="","",E13-MAX(E14,0)-MAX(E15,0)-MAX(E16,0)-MAX(E17,0)-MAX(E18,0)/(1-Fin_Analysis!$I$84))</f>
        <v>144546.33333333334</v>
      </c>
      <c r="F21" s="77">
        <f>IF(F6="","",F13-MAX(F14,0)-MAX(F15,0)-MAX(F16,0)-MAX(F17,0)-MAX(F18,0)/(1-Fin_Analysis!$I$84))</f>
        <v>179868.66666666666</v>
      </c>
      <c r="G21" s="77">
        <f>IF(G6="","",G13-MAX(G14,0)-MAX(G15,0)-MAX(G16,0)-MAX(G17,0)-MAX(G18,0)/(1-Fin_Analysis!$I$84))</f>
        <v>38801</v>
      </c>
      <c r="H21" s="77">
        <f>IF(H6="","",H13-MAX(H14,0)-MAX(H15,0)-MAX(H16,0)-MAX(H17,0)-MAX(H18,0)/(1-Fin_Analysis!$I$84))</f>
        <v>53643</v>
      </c>
      <c r="I21" s="77">
        <f>IF(I6="","",I13-MAX(I14,0)-MAX(I15,0)-MAX(I16,0)-MAX(I17,0)-MAX(I18,0)/(1-Fin_Analysis!$I$84))</f>
        <v>-5487.6666666666642</v>
      </c>
      <c r="J21" s="77">
        <f>IF(J6="","",J13-MAX(J14,0)-MAX(J15,0)-MAX(J16,0)-MAX(J17,0)-MAX(J18,0)/(1-Fin_Analysis!$I$84))</f>
        <v>-177464.33333333334</v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4">
      <c r="A22" s="4"/>
      <c r="B22" s="98" t="s">
        <v>116</v>
      </c>
      <c r="C22" s="156" t="str">
        <f>IF(D21="","",IF(ABS(C21+D21)=ABS(C21)+ABS(D21),IF(C21&lt;0,-1,1)*(C21-D21)/D21,"Turn"))</f>
        <v>Turn</v>
      </c>
      <c r="D22" s="156" t="str">
        <f t="shared" ref="D22:M22" si="6">IF(E21="","",IF(ABS(D21+E21)=ABS(D21)+ABS(E21),IF(D21&lt;0,-1,1)*(D21-E21)/E21,"Turn"))</f>
        <v>Turn</v>
      </c>
      <c r="E22" s="156">
        <f t="shared" si="6"/>
        <v>-0.19637846873459514</v>
      </c>
      <c r="F22" s="156">
        <f t="shared" si="6"/>
        <v>3.6356709019526985</v>
      </c>
      <c r="G22" s="156">
        <f t="shared" si="6"/>
        <v>-0.27668102082284735</v>
      </c>
      <c r="H22" s="156" t="str">
        <f t="shared" si="6"/>
        <v>Turn</v>
      </c>
      <c r="I22" s="156">
        <f t="shared" si="6"/>
        <v>0.96907735451067167</v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4">
      <c r="A23" s="4"/>
      <c r="B23" s="100" t="s">
        <v>117</v>
      </c>
      <c r="C23" s="157">
        <f t="shared" ref="C23:M23" si="7">IF(C6="","",C24/C6)</f>
        <v>3.6612482958076217E-2</v>
      </c>
      <c r="D23" s="157">
        <f t="shared" si="7"/>
        <v>-3.1069524737617916E-2</v>
      </c>
      <c r="E23" s="157">
        <f t="shared" si="7"/>
        <v>2.8039409414859291E-2</v>
      </c>
      <c r="F23" s="157">
        <f t="shared" si="7"/>
        <v>3.8336847268437647E-2</v>
      </c>
      <c r="G23" s="157">
        <f t="shared" si="7"/>
        <v>9.424486386826008E-3</v>
      </c>
      <c r="H23" s="157">
        <f t="shared" si="7"/>
        <v>1.3415991180554537E-2</v>
      </c>
      <c r="I23" s="157">
        <f t="shared" si="7"/>
        <v>-1.4181136082743473E-3</v>
      </c>
      <c r="J23" s="157">
        <f t="shared" si="7"/>
        <v>-5.060952772058306E-2</v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4">
      <c r="A24" s="4"/>
      <c r="B24" s="102" t="s">
        <v>118</v>
      </c>
      <c r="C24" s="158">
        <f>IF(C6="","",C21*(1-Fin_Analysis!$I$84))</f>
        <v>140342.75</v>
      </c>
      <c r="D24" s="77">
        <f>IF(D6="","",D21*(1-Fin_Analysis!$I$84))</f>
        <v>-126382.5</v>
      </c>
      <c r="E24" s="77">
        <f>IF(E6="","",E21*(1-Fin_Analysis!$I$84))</f>
        <v>108409.75</v>
      </c>
      <c r="F24" s="77">
        <f>IF(F6="","",F21*(1-Fin_Analysis!$I$84))</f>
        <v>134901.5</v>
      </c>
      <c r="G24" s="77">
        <f>IF(G6="","",G21*(1-Fin_Analysis!$I$84))</f>
        <v>29100.75</v>
      </c>
      <c r="H24" s="77">
        <f>IF(H6="","",H21*(1-Fin_Analysis!$I$84))</f>
        <v>40232.25</v>
      </c>
      <c r="I24" s="77">
        <f>IF(I6="","",I21*(1-Fin_Analysis!$I$84))</f>
        <v>-4115.7499999999982</v>
      </c>
      <c r="J24" s="77">
        <f>IF(J6="","",J21*(1-Fin_Analysis!$I$84))</f>
        <v>-133098.25</v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45">
      <c r="A25" s="4"/>
      <c r="B25" s="101" t="s">
        <v>138</v>
      </c>
      <c r="C25" s="159" t="str">
        <f>IF(D24="","",IF(ABS(C24+D24)=ABS(C24)+ABS(D24),IF(C24&lt;0,-1,1)*(C24-D24)/D24,"Turn"))</f>
        <v>Turn</v>
      </c>
      <c r="D25" s="159" t="str">
        <f t="shared" ref="D25:M25" si="8">IF(E24="","",IF(ABS(D24+E24)=ABS(D24)+ABS(E24),IF(D24&lt;0,-1,1)*(D24-E24)/E24,"Turn"))</f>
        <v>Turn</v>
      </c>
      <c r="E25" s="159">
        <f t="shared" si="8"/>
        <v>-0.19637846873459525</v>
      </c>
      <c r="F25" s="159">
        <f t="shared" si="8"/>
        <v>3.6356709019526989</v>
      </c>
      <c r="G25" s="159">
        <f t="shared" si="8"/>
        <v>-0.27668102082284735</v>
      </c>
      <c r="H25" s="159" t="str">
        <f t="shared" si="8"/>
        <v>Turn</v>
      </c>
      <c r="I25" s="159">
        <f t="shared" si="8"/>
        <v>0.96907735451067167</v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4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4569346</v>
      </c>
      <c r="D27" s="65">
        <f t="shared" ref="D27:M27" si="18">IF(D36="","",D36+D31+D32)</f>
        <v>4683733</v>
      </c>
      <c r="E27" s="65">
        <f t="shared" si="18"/>
        <v>5259569</v>
      </c>
      <c r="F27" s="65">
        <f t="shared" si="18"/>
        <v>5183875</v>
      </c>
      <c r="G27" s="65">
        <f t="shared" si="18"/>
        <v>4633930</v>
      </c>
      <c r="H27" s="65">
        <f t="shared" si="18"/>
        <v>4444372</v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2422539</v>
      </c>
      <c r="D28" s="208">
        <f>IF(Inputs!D28="","",Inputs!D28)</f>
        <v>2504156</v>
      </c>
      <c r="E28" s="208">
        <f>IF(Inputs!E28="","",Inputs!E28)</f>
        <v>3108899</v>
      </c>
      <c r="F28" s="208">
        <f>IF(Inputs!F28="","",Inputs!F28)</f>
        <v>3296593</v>
      </c>
      <c r="G28" s="208">
        <f>IF(Inputs!G28="","",Inputs!G28)</f>
        <v>2995218</v>
      </c>
      <c r="H28" s="208">
        <f>IF(Inputs!H28="","",Inputs!H28)</f>
        <v>2922746</v>
      </c>
      <c r="I28" s="208">
        <f>IF(Inputs!I28="","",Inputs!I28)</f>
        <v>2928529</v>
      </c>
      <c r="J28" s="208">
        <f>IF(Inputs!J28="","",Inputs!J28)</f>
        <v>2035257</v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4">
      <c r="A29" s="4"/>
      <c r="B29" s="94" t="s">
        <v>121</v>
      </c>
      <c r="C29" s="65">
        <f>Fin_Analysis!C13</f>
        <v>422018</v>
      </c>
      <c r="D29" s="208">
        <f>IF(Inputs!D29="","",Inputs!D29)</f>
        <v>372854</v>
      </c>
      <c r="E29" s="208">
        <f>IF(Inputs!E29="","",Inputs!E29)</f>
        <v>475382</v>
      </c>
      <c r="F29" s="208">
        <f>IF(Inputs!F29="","",Inputs!F29)</f>
        <v>508545</v>
      </c>
      <c r="G29" s="208">
        <f>IF(Inputs!G29="","",Inputs!G29)</f>
        <v>421056</v>
      </c>
      <c r="H29" s="208">
        <f>IF(Inputs!H29="","",Inputs!H29)</f>
        <v>449932</v>
      </c>
      <c r="I29" s="208">
        <f>IF(Inputs!I29="","",Inputs!I29)</f>
        <v>420626</v>
      </c>
      <c r="J29" s="208">
        <f>IF(Inputs!J29="","",Inputs!J29)</f>
        <v>296371</v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4">
      <c r="A30" s="4"/>
      <c r="B30" s="94" t="s">
        <v>159</v>
      </c>
      <c r="C30" s="65">
        <f>Fin_Analysis!C18</f>
        <v>370793</v>
      </c>
      <c r="D30" s="208">
        <f>IF(Inputs!D30="","",Inputs!D30)</f>
        <v>415015</v>
      </c>
      <c r="E30" s="208">
        <f>IF(Inputs!E30="","",Inputs!E30)</f>
        <v>464999</v>
      </c>
      <c r="F30" s="208">
        <f>IF(Inputs!F30="","",Inputs!F30)</f>
        <v>363144</v>
      </c>
      <c r="G30" s="208">
        <f>IF(Inputs!G30="","",Inputs!G30)</f>
        <v>326593</v>
      </c>
      <c r="H30" s="208">
        <f>IF(Inputs!H30="","",Inputs!H30)</f>
        <v>294086</v>
      </c>
      <c r="I30" s="208">
        <f>IF(Inputs!I30="","",Inputs!I30)</f>
        <v>290728</v>
      </c>
      <c r="J30" s="208">
        <f>IF(Inputs!J30="","",Inputs!J30)</f>
        <v>215131</v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803015</v>
      </c>
      <c r="D31" s="208">
        <f>IF(Inputs!D31="","",Inputs!D31)</f>
        <v>896185</v>
      </c>
      <c r="E31" s="208">
        <f>IF(Inputs!E31="","",Inputs!E31)</f>
        <v>1060434</v>
      </c>
      <c r="F31" s="208">
        <f>IF(Inputs!F31="","",Inputs!F31)</f>
        <v>1065331</v>
      </c>
      <c r="G31" s="208">
        <f>IF(Inputs!G31="","",Inputs!G31)</f>
        <v>859227</v>
      </c>
      <c r="H31" s="208">
        <f>IF(Inputs!H31="","",Inputs!H31)</f>
        <v>796096</v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4">
      <c r="A32" s="4"/>
      <c r="B32" s="94" t="s">
        <v>120</v>
      </c>
      <c r="C32" s="65">
        <f>Fin_Analysis!I48</f>
        <v>100207</v>
      </c>
      <c r="D32" s="208">
        <f>IF(Inputs!D32="","",Inputs!D32)</f>
        <v>112845</v>
      </c>
      <c r="E32" s="208">
        <f>IF(Inputs!E32="","",Inputs!E32)</f>
        <v>82874</v>
      </c>
      <c r="F32" s="208">
        <f>IF(Inputs!F32="","",Inputs!F32)</f>
        <v>75361</v>
      </c>
      <c r="G32" s="208">
        <f>IF(Inputs!G32="","",Inputs!G32)</f>
        <v>62385</v>
      </c>
      <c r="H32" s="208">
        <f>IF(Inputs!H32="","",Inputs!H32)</f>
        <v>53103</v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5523</v>
      </c>
      <c r="D33" s="208">
        <f>IF(Inputs!D33="","",Inputs!D33)</f>
        <v>8558</v>
      </c>
      <c r="E33" s="208">
        <f>IF(Inputs!E33="","",Inputs!E33)</f>
        <v>5576</v>
      </c>
      <c r="F33" s="208">
        <f>IF(Inputs!F33="","",Inputs!F33)</f>
        <v>7278</v>
      </c>
      <c r="G33" s="208">
        <f>IF(Inputs!G33="","",Inputs!G33)</f>
        <v>1660</v>
      </c>
      <c r="H33" s="208">
        <f>IF(Inputs!H33="","",Inputs!H33)</f>
        <v>0</v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2115</v>
      </c>
      <c r="D34" s="208">
        <f>IF(Inputs!D34="","",Inputs!D34)</f>
        <v>1113</v>
      </c>
      <c r="E34" s="208">
        <f>IF(Inputs!E34="","",Inputs!E34)</f>
        <v>5636</v>
      </c>
      <c r="F34" s="208">
        <f>IF(Inputs!F34="","",Inputs!F34)</f>
        <v>9396</v>
      </c>
      <c r="G34" s="208">
        <f>IF(Inputs!G34="","",Inputs!G34)</f>
        <v>131</v>
      </c>
      <c r="H34" s="208">
        <f>IF(Inputs!H34="","",Inputs!H34)</f>
        <v>0</v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19">IF(OR(C33="",C34=""),"",C33+C34)</f>
        <v>7638</v>
      </c>
      <c r="D35" s="77">
        <f t="shared" ref="D35" si="20">IF(OR(D33="",D34=""),"",D33+D34)</f>
        <v>9671</v>
      </c>
      <c r="E35" s="77">
        <f t="shared" ref="E35" si="21">IF(OR(E33="",E34=""),"",E33+E34)</f>
        <v>11212</v>
      </c>
      <c r="F35" s="77">
        <f t="shared" ref="F35" si="22">IF(OR(F33="",F34=""),"",F33+F34)</f>
        <v>16674</v>
      </c>
      <c r="G35" s="77">
        <f t="shared" ref="G35" si="23">IF(OR(G33="",G34=""),"",G33+G34)</f>
        <v>1791</v>
      </c>
      <c r="H35" s="77">
        <f t="shared" ref="H35" si="24">IF(OR(H33="",H34=""),"",H33+H34)</f>
        <v>0</v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4">
      <c r="A36" s="4"/>
      <c r="B36" s="94" t="s">
        <v>148</v>
      </c>
      <c r="C36" s="65">
        <f>Fin_Analysis!D3</f>
        <v>3666124</v>
      </c>
      <c r="D36" s="208">
        <f>IF(Inputs!D35="","",Inputs!D35)</f>
        <v>3674703</v>
      </c>
      <c r="E36" s="208">
        <f>IF(Inputs!E35="","",Inputs!E35)</f>
        <v>4116261</v>
      </c>
      <c r="F36" s="208">
        <f>IF(Inputs!F35="","",Inputs!F35)</f>
        <v>4043183</v>
      </c>
      <c r="G36" s="208">
        <f>IF(Inputs!G35="","",Inputs!G35)</f>
        <v>3712318</v>
      </c>
      <c r="H36" s="208">
        <f>IF(Inputs!H35="","",Inputs!H35)</f>
        <v>3595173</v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4">
      <c r="A37" s="4"/>
      <c r="B37" s="94" t="s">
        <v>149</v>
      </c>
      <c r="C37" s="65">
        <f>Fin_Analysis!D4</f>
        <v>45613</v>
      </c>
      <c r="D37" s="208">
        <f>IF(Inputs!D36="","",Inputs!D36)</f>
        <v>43262</v>
      </c>
      <c r="E37" s="208">
        <f>IF(Inputs!E36="","",Inputs!E36)</f>
        <v>165622</v>
      </c>
      <c r="F37" s="208">
        <f>IF(Inputs!F36="","",Inputs!F36)</f>
        <v>143504</v>
      </c>
      <c r="G37" s="208">
        <f>IF(Inputs!G36="","",Inputs!G36)</f>
        <v>122753</v>
      </c>
      <c r="H37" s="208">
        <f>IF(Inputs!H36="","",Inputs!H36)</f>
        <v>114637</v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4">
      <c r="A38" s="4"/>
      <c r="B38" s="94" t="s">
        <v>147</v>
      </c>
      <c r="C38" s="65">
        <f>Fin_Analysis!C63</f>
        <v>1668632</v>
      </c>
      <c r="D38" s="208">
        <f>IF(Inputs!D37="","",Inputs!D37)</f>
        <v>1696980</v>
      </c>
      <c r="E38" s="208">
        <f>IF(Inputs!E37="","",Inputs!E37)</f>
        <v>2130407</v>
      </c>
      <c r="F38" s="208">
        <f>IF(Inputs!F37="","",Inputs!F37)</f>
        <v>2344902</v>
      </c>
      <c r="G38" s="208">
        <f>IF(Inputs!G37="","",Inputs!G37)</f>
        <v>2164713</v>
      </c>
      <c r="H38" s="208">
        <f>IF(Inputs!H37="","",Inputs!H37)</f>
        <v>2079261</v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4">
      <c r="A39" s="4"/>
      <c r="B39" s="94" t="s">
        <v>151</v>
      </c>
      <c r="C39" s="65">
        <f>Fin_Analysis!C68</f>
        <v>2900714</v>
      </c>
      <c r="D39" s="65">
        <f>IF(D38="","",D27-D38)</f>
        <v>2986753</v>
      </c>
      <c r="E39" s="65">
        <f t="shared" ref="E39:M39" si="30">IF(E38="","",E27-E38)</f>
        <v>3129162</v>
      </c>
      <c r="F39" s="65">
        <f t="shared" si="30"/>
        <v>2838973</v>
      </c>
      <c r="G39" s="65">
        <f t="shared" si="30"/>
        <v>2469217</v>
      </c>
      <c r="H39" s="65">
        <f t="shared" si="30"/>
        <v>2365111</v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4">
      <c r="A40" s="4"/>
      <c r="B40" s="98" t="s">
        <v>169</v>
      </c>
      <c r="C40" s="160">
        <f t="shared" ref="C40" si="31">IF(C6="","",C21/C39)</f>
        <v>6.4509519610229299E-2</v>
      </c>
      <c r="D40" s="160">
        <f>IF(D39="","",D21/D39)</f>
        <v>-5.6419128063150852E-2</v>
      </c>
      <c r="E40" s="160">
        <f t="shared" ref="E40:M40" si="32">IF(E39="","",E21/E39)</f>
        <v>4.6193304575900304E-2</v>
      </c>
      <c r="F40" s="160">
        <f t="shared" si="32"/>
        <v>6.3356948680620306E-2</v>
      </c>
      <c r="G40" s="160">
        <f t="shared" si="32"/>
        <v>1.5713888248784939E-2</v>
      </c>
      <c r="H40" s="160">
        <f t="shared" si="32"/>
        <v>2.2680965079440247E-2</v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99</v>
      </c>
      <c r="C42" s="161">
        <f t="shared" ref="C42:M42" si="33">IF(C6="","",C8/C6)</f>
        <v>0.66005868735054896</v>
      </c>
      <c r="D42" s="161">
        <f t="shared" si="33"/>
        <v>0.67972447545708514</v>
      </c>
      <c r="E42" s="161">
        <f t="shared" si="33"/>
        <v>0.68256268533378506</v>
      </c>
      <c r="F42" s="161">
        <f t="shared" si="33"/>
        <v>0.67072254065038917</v>
      </c>
      <c r="G42" s="161">
        <f t="shared" si="33"/>
        <v>0.67179343353689913</v>
      </c>
      <c r="H42" s="161">
        <f t="shared" si="33"/>
        <v>0.68874540320418509</v>
      </c>
      <c r="I42" s="161">
        <f t="shared" si="33"/>
        <v>0.64353259912668392</v>
      </c>
      <c r="J42" s="161">
        <f t="shared" si="33"/>
        <v>0.60409862713672169</v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4">
      <c r="A43" s="4"/>
      <c r="B43" s="94" t="s">
        <v>126</v>
      </c>
      <c r="C43" s="157">
        <f>IF(C6="","",(C10-MAX(C12,0))/C6)</f>
        <v>0.20403193785652382</v>
      </c>
      <c r="D43" s="157">
        <f t="shared" ref="D43:M43" si="34">IF(D6="","",(D10-MAX(D12,0))/D6)</f>
        <v>0.19589933653446195</v>
      </c>
      <c r="E43" s="157">
        <f t="shared" si="34"/>
        <v>0.18603897489482935</v>
      </c>
      <c r="F43" s="157">
        <f t="shared" si="34"/>
        <v>0.19271170357790493</v>
      </c>
      <c r="G43" s="157">
        <f t="shared" si="34"/>
        <v>0.21170316159079935</v>
      </c>
      <c r="H43" s="157">
        <f t="shared" si="34"/>
        <v>0.21039686170730698</v>
      </c>
      <c r="I43" s="157">
        <f t="shared" si="34"/>
        <v>0.25734674673729641</v>
      </c>
      <c r="J43" s="157">
        <f t="shared" si="34"/>
        <v>0.27727009150520648</v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4">
      <c r="A44" s="4"/>
      <c r="B44" s="94" t="s">
        <v>101</v>
      </c>
      <c r="C44" s="157">
        <f>IF(C6="","",(MAX(C14,0)+MAX(C15,0))/C6)</f>
        <v>8.5985734090160845E-2</v>
      </c>
      <c r="D44" s="157">
        <f t="shared" ref="D44:M44" si="35">IF(D6="","",(MAX(D14,0)+MAX(D15,0))/D6)</f>
        <v>0.15586080892251505</v>
      </c>
      <c r="E44" s="157">
        <f t="shared" si="35"/>
        <v>8.1705284203257095E-2</v>
      </c>
      <c r="F44" s="157">
        <f t="shared" si="35"/>
        <v>7.3802583630376659E-2</v>
      </c>
      <c r="G44" s="157">
        <f t="shared" si="35"/>
        <v>9.1845891920443845E-2</v>
      </c>
      <c r="H44" s="157">
        <f t="shared" si="35"/>
        <v>7.1794714468452342E-2</v>
      </c>
      <c r="I44" s="157">
        <f t="shared" si="35"/>
        <v>8.9481650748672328E-2</v>
      </c>
      <c r="J44" s="157">
        <f t="shared" si="35"/>
        <v>0.17780109927925153</v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0</v>
      </c>
      <c r="E45" s="157">
        <f t="shared" si="36"/>
        <v>0</v>
      </c>
      <c r="F45" s="157">
        <f t="shared" si="36"/>
        <v>0</v>
      </c>
      <c r="G45" s="157">
        <f t="shared" si="36"/>
        <v>0</v>
      </c>
      <c r="H45" s="157">
        <f t="shared" si="36"/>
        <v>0</v>
      </c>
      <c r="I45" s="157">
        <f t="shared" si="36"/>
        <v>0</v>
      </c>
      <c r="J45" s="157">
        <f t="shared" si="36"/>
        <v>0</v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127</v>
      </c>
      <c r="C46" s="157">
        <f>IF(C6="","",MAX(C17,0)/C6)</f>
        <v>7.0437342852983705E-5</v>
      </c>
      <c r="D46" s="157">
        <f t="shared" ref="D46:M46" si="37">IF(D6="","",MAX(D17,0)/D6)</f>
        <v>6.3671844654465925E-5</v>
      </c>
      <c r="E46" s="157">
        <f t="shared" si="37"/>
        <v>9.440464936432048E-5</v>
      </c>
      <c r="F46" s="157">
        <f t="shared" si="37"/>
        <v>3.2965343477565238E-5</v>
      </c>
      <c r="G46" s="157">
        <f t="shared" si="37"/>
        <v>2.0726858543400585E-5</v>
      </c>
      <c r="H46" s="157">
        <f t="shared" si="37"/>
        <v>0</v>
      </c>
      <c r="I46" s="157">
        <f t="shared" si="37"/>
        <v>0</v>
      </c>
      <c r="J46" s="157">
        <f t="shared" si="37"/>
        <v>0</v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139</v>
      </c>
      <c r="C47" s="157">
        <f>IF(C6="","",MAX(C18,0)/(1-Fin_Analysis!$I$84)/C6)</f>
        <v>1.0365594158118095E-3</v>
      </c>
      <c r="D47" s="157">
        <f>IF(D6="","",MAX(D18,0)/(1-Fin_Analysis!$I$84)/D6)</f>
        <v>9.8777402247739038E-3</v>
      </c>
      <c r="E47" s="157">
        <f>IF(E6="","",MAX(E18,0)/(1-Fin_Analysis!$I$84)/E6)</f>
        <v>1.2212771698951764E-2</v>
      </c>
      <c r="F47" s="157">
        <f>IF(F6="","",MAX(F18,0)/(1-Fin_Analysis!$I$84)/F6)</f>
        <v>1.1614410439934823E-2</v>
      </c>
      <c r="G47" s="157">
        <f>IF(G6="","",MAX(G18,0)/(1-Fin_Analysis!$I$84)/G6)</f>
        <v>1.2070804244212915E-2</v>
      </c>
      <c r="H47" s="157">
        <f>IF(H6="","",MAX(H18,0)/(1-Fin_Analysis!$I$84)/H6)</f>
        <v>1.1175032379316186E-2</v>
      </c>
      <c r="I47" s="157">
        <f>IF(I6="","",MAX(I18,0)/(1-Fin_Analysis!$I$84)/I6)</f>
        <v>1.1529821531713154E-2</v>
      </c>
      <c r="J47" s="157">
        <f>IF(J6="","",MAX(J18,0)/(1-Fin_Analysis!$I$84)/J6)</f>
        <v>8.3095523729310884E-3</v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4">
      <c r="A48" s="4"/>
      <c r="B48" s="94" t="s">
        <v>130</v>
      </c>
      <c r="C48" s="157">
        <f t="shared" ref="C48:M48" si="38">IF(C6="","",C21/C6)</f>
        <v>4.8816643944101616E-2</v>
      </c>
      <c r="D48" s="157">
        <f t="shared" si="38"/>
        <v>-4.1426032983490554E-2</v>
      </c>
      <c r="E48" s="157">
        <f t="shared" si="38"/>
        <v>3.7385879219812394E-2</v>
      </c>
      <c r="F48" s="157">
        <f t="shared" si="38"/>
        <v>5.1115796357916854E-2</v>
      </c>
      <c r="G48" s="157">
        <f t="shared" si="38"/>
        <v>1.2565981849101345E-2</v>
      </c>
      <c r="H48" s="157">
        <f t="shared" si="38"/>
        <v>1.7887988240739384E-2</v>
      </c>
      <c r="I48" s="157">
        <f t="shared" si="38"/>
        <v>-1.8908181443657963E-3</v>
      </c>
      <c r="J48" s="157">
        <f t="shared" si="38"/>
        <v>-6.747937029411076E-2</v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4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157</v>
      </c>
      <c r="C50" s="161">
        <f>IF(C29="","",C29/C6)</f>
        <v>0.11009565391159436</v>
      </c>
      <c r="D50" s="161">
        <f t="shared" ref="D50:M50" si="39">IF(D29="","",D29/D6)</f>
        <v>9.1661397555197838E-2</v>
      </c>
      <c r="E50" s="161">
        <f t="shared" si="39"/>
        <v>0.12295416718934081</v>
      </c>
      <c r="F50" s="161">
        <f t="shared" si="39"/>
        <v>0.1445203499896415</v>
      </c>
      <c r="G50" s="161">
        <f t="shared" si="39"/>
        <v>0.13636200235703244</v>
      </c>
      <c r="H50" s="161">
        <f t="shared" si="39"/>
        <v>0.1500359473767752</v>
      </c>
      <c r="I50" s="161">
        <f t="shared" si="39"/>
        <v>0.14492995312980766</v>
      </c>
      <c r="J50" s="161">
        <f t="shared" si="39"/>
        <v>0.11269266380344538</v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4">
      <c r="A51" s="4"/>
      <c r="B51" s="94" t="s">
        <v>158</v>
      </c>
      <c r="C51" s="157">
        <f>IF(C30="","",C30/C6)</f>
        <v>9.6732124698097721E-2</v>
      </c>
      <c r="D51" s="157">
        <f t="shared" ref="D51:M51" si="40">IF(D30="","",D30/D6)</f>
        <v>0.10202614134854508</v>
      </c>
      <c r="E51" s="157">
        <f t="shared" si="40"/>
        <v>0.12026867821851961</v>
      </c>
      <c r="F51" s="157">
        <f t="shared" si="40"/>
        <v>0.10319971286049096</v>
      </c>
      <c r="G51" s="157">
        <f t="shared" si="40"/>
        <v>0.10576948300413792</v>
      </c>
      <c r="H51" s="157">
        <f t="shared" si="40"/>
        <v>9.8066978166136909E-2</v>
      </c>
      <c r="I51" s="157">
        <f t="shared" si="40"/>
        <v>0.10017258898290339</v>
      </c>
      <c r="J51" s="157">
        <f t="shared" si="40"/>
        <v>8.1801814133970613E-2</v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4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61">
        <f>IF(C36="","",(C27-C36)/C27)</f>
        <v>0.19766986347718032</v>
      </c>
      <c r="D53" s="161">
        <f t="shared" ref="D53:M53" si="41">IF(D36="","",(D27-D36)/D27)</f>
        <v>0.21543286092524916</v>
      </c>
      <c r="E53" s="161">
        <f t="shared" si="41"/>
        <v>0.21737674703003232</v>
      </c>
      <c r="F53" s="161">
        <f t="shared" si="41"/>
        <v>0.22004620095970678</v>
      </c>
      <c r="G53" s="161">
        <f t="shared" si="41"/>
        <v>0.19888345313804912</v>
      </c>
      <c r="H53" s="161">
        <f t="shared" si="41"/>
        <v>0.19107288948809867</v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4">
      <c r="A54" s="4"/>
      <c r="B54" s="94" t="s">
        <v>125</v>
      </c>
      <c r="C54" s="162">
        <f>IF(OR(C21="",C35=""),"",IF(C35&lt;=0,"-",C21/C35))</f>
        <v>24.499039888277906</v>
      </c>
      <c r="D54" s="162">
        <f t="shared" ref="D54:M54" si="42">IF(OR(D21="",D35=""),"",IF(D35&lt;=0,"-",D21/D35))</f>
        <v>-17.424258091200496</v>
      </c>
      <c r="E54" s="162">
        <f t="shared" si="42"/>
        <v>12.89210964442859</v>
      </c>
      <c r="F54" s="162">
        <f t="shared" si="42"/>
        <v>10.78737355563552</v>
      </c>
      <c r="G54" s="162">
        <f t="shared" si="42"/>
        <v>21.664433277498603</v>
      </c>
      <c r="H54" s="162" t="str">
        <f t="shared" si="42"/>
        <v>-</v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4">
      <c r="A55" s="4"/>
      <c r="B55" s="94" t="s">
        <v>128</v>
      </c>
      <c r="C55" s="157">
        <f>IF(C21="","",IF(MAX(C17,0)&lt;=0,"-",C17/C21))</f>
        <v>1.4428960526995517E-3</v>
      </c>
      <c r="D55" s="157">
        <f t="shared" ref="D55:M55" si="43">IF(D21="","",IF(MAX(D17,0)&lt;=0,"-",D17/D21))</f>
        <v>-1.5370007714675686E-3</v>
      </c>
      <c r="E55" s="157">
        <f t="shared" si="43"/>
        <v>2.5251418806887757E-3</v>
      </c>
      <c r="F55" s="157">
        <f t="shared" si="43"/>
        <v>6.4491499353231806E-4</v>
      </c>
      <c r="G55" s="157">
        <f t="shared" si="43"/>
        <v>1.6494420246900854E-3</v>
      </c>
      <c r="H55" s="157" t="str">
        <f t="shared" si="43"/>
        <v>-</v>
      </c>
      <c r="I55" s="157" t="str">
        <f t="shared" si="43"/>
        <v>-</v>
      </c>
      <c r="J55" s="157" t="str">
        <f t="shared" si="43"/>
        <v>-</v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4">
      <c r="A56" s="4"/>
      <c r="B56" s="98" t="s">
        <v>21</v>
      </c>
      <c r="C56" s="163">
        <f t="shared" ref="C56:M56" si="44">IF(C28="","",C28/C31)</f>
        <v>3.0168041692869996</v>
      </c>
      <c r="D56" s="163">
        <f t="shared" si="44"/>
        <v>2.7942400285655307</v>
      </c>
      <c r="E56" s="163">
        <f t="shared" si="44"/>
        <v>2.9317232378441278</v>
      </c>
      <c r="F56" s="163">
        <f t="shared" si="44"/>
        <v>3.0944307449985029</v>
      </c>
      <c r="G56" s="163">
        <f t="shared" si="44"/>
        <v>3.4859449249150689</v>
      </c>
      <c r="H56" s="163">
        <f t="shared" si="44"/>
        <v>3.6713486815660423</v>
      </c>
      <c r="I56" s="163" t="e">
        <f t="shared" si="44"/>
        <v>#VALUE!</v>
      </c>
      <c r="J56" s="163" t="e">
        <f t="shared" si="44"/>
        <v>#VALUE!</v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86" zoomScaleNormal="100" workbookViewId="0">
      <selection activeCell="D91" sqref="D91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3666124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3620511</v>
      </c>
      <c r="K3" s="24"/>
    </row>
    <row r="4" spans="1:11" ht="15" customHeight="1" x14ac:dyDescent="0.4">
      <c r="B4" s="3" t="s">
        <v>25</v>
      </c>
      <c r="C4" s="87"/>
      <c r="D4" s="65">
        <f>D3-I3</f>
        <v>45613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3.0168041692869996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1109594.0530154787</v>
      </c>
      <c r="E6" s="56">
        <f>1-D6/D3</f>
        <v>0.69733864620632624</v>
      </c>
      <c r="F6" s="87"/>
      <c r="G6" s="87"/>
      <c r="H6" s="1" t="s">
        <v>30</v>
      </c>
      <c r="I6" s="63">
        <f>(C24+C25)/I28</f>
        <v>2.527144573887163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1.0631437299990976</v>
      </c>
      <c r="E7" s="11" t="str">
        <f>Dashboard!H3</f>
        <v>HKD</v>
      </c>
      <c r="H7" s="1" t="s">
        <v>31</v>
      </c>
      <c r="I7" s="63">
        <f>C24/I28</f>
        <v>2.447959253563134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1322113</v>
      </c>
      <c r="D11" s="207">
        <f>Inputs!D40</f>
        <v>0.9</v>
      </c>
      <c r="E11" s="88">
        <f t="shared" ref="E11:E22" si="0">C11*D11</f>
        <v>1189901.7</v>
      </c>
      <c r="F11" s="113"/>
      <c r="G11" s="87"/>
      <c r="H11" s="3" t="s">
        <v>39</v>
      </c>
      <c r="I11" s="40">
        <f>Inputs!C66</f>
        <v>0</v>
      </c>
      <c r="J11" s="87"/>
      <c r="K11" s="24"/>
    </row>
    <row r="12" spans="1:11" ht="13.9" x14ac:dyDescent="0.4">
      <c r="B12" s="1" t="s">
        <v>146</v>
      </c>
      <c r="C12" s="40">
        <f>Inputs!C41</f>
        <v>0</v>
      </c>
      <c r="D12" s="207">
        <f>Inputs!D41</f>
        <v>0.8</v>
      </c>
      <c r="E12" s="88">
        <f t="shared" si="0"/>
        <v>0</v>
      </c>
      <c r="F12" s="113"/>
      <c r="G12" s="87"/>
      <c r="H12" s="3" t="s">
        <v>40</v>
      </c>
      <c r="I12" s="40">
        <f>Inputs!C67</f>
        <v>5523</v>
      </c>
      <c r="J12" s="87"/>
      <c r="K12" s="24"/>
    </row>
    <row r="13" spans="1:11" ht="13.9" x14ac:dyDescent="0.4">
      <c r="B13" s="3" t="s">
        <v>121</v>
      </c>
      <c r="C13" s="40">
        <f>Inputs!C42</f>
        <v>422018</v>
      </c>
      <c r="D13" s="207">
        <f>Inputs!D42</f>
        <v>0.6</v>
      </c>
      <c r="E13" s="88">
        <f t="shared" si="0"/>
        <v>253210.8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221617</v>
      </c>
      <c r="D14" s="207">
        <f>Inputs!D43</f>
        <v>0.6</v>
      </c>
      <c r="E14" s="88">
        <f t="shared" si="0"/>
        <v>132970.19999999998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3.9" x14ac:dyDescent="0.4">
      <c r="B15" s="3" t="s">
        <v>44</v>
      </c>
      <c r="C15" s="40">
        <f>Inputs!C44</f>
        <v>0</v>
      </c>
      <c r="D15" s="207">
        <f>Inputs!D44</f>
        <v>0.5</v>
      </c>
      <c r="E15" s="88">
        <f t="shared" si="0"/>
        <v>0</v>
      </c>
      <c r="F15" s="113"/>
      <c r="G15" s="87"/>
      <c r="H15" s="1" t="s">
        <v>54</v>
      </c>
      <c r="I15" s="84">
        <f>SUM(I11:I14)</f>
        <v>5523</v>
      </c>
      <c r="J15" s="87"/>
    </row>
    <row r="16" spans="1:11" ht="13.9" x14ac:dyDescent="0.4">
      <c r="B16" s="1" t="s">
        <v>170</v>
      </c>
      <c r="C16" s="40">
        <f>Inputs!C45</f>
        <v>0</v>
      </c>
      <c r="D16" s="207">
        <f>Inputs!D45</f>
        <v>0.6</v>
      </c>
      <c r="E16" s="88">
        <f t="shared" si="0"/>
        <v>0</v>
      </c>
      <c r="F16" s="113"/>
      <c r="G16" s="30"/>
      <c r="H16" s="3"/>
      <c r="I16" s="40"/>
      <c r="J16" s="87"/>
    </row>
    <row r="17" spans="2:10" ht="13.9" x14ac:dyDescent="0.4">
      <c r="B17" s="3" t="s">
        <v>122</v>
      </c>
      <c r="C17" s="40">
        <f>Inputs!C46</f>
        <v>63587</v>
      </c>
      <c r="D17" s="207">
        <f>Inputs!D46</f>
        <v>0.1</v>
      </c>
      <c r="E17" s="88">
        <f t="shared" si="0"/>
        <v>6358.7000000000007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370793</v>
      </c>
      <c r="D18" s="207">
        <f>Inputs!D47</f>
        <v>0.5</v>
      </c>
      <c r="E18" s="88">
        <f t="shared" si="0"/>
        <v>185396.5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135" t="str">
        <f>Inputs!E48</f>
        <v>N</v>
      </c>
      <c r="G19" s="30">
        <f>IF(F19="Y",0,1)</f>
        <v>1</v>
      </c>
    </row>
    <row r="20" spans="2:10" ht="13.9" x14ac:dyDescent="0.4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135" t="str">
        <f>Inputs!E49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22411</v>
      </c>
      <c r="D21" s="207">
        <f>Inputs!D50</f>
        <v>0.9</v>
      </c>
      <c r="E21" s="88">
        <f t="shared" si="0"/>
        <v>20169.900000000001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7">
        <f>Inputs!D51</f>
        <v>0.05</v>
      </c>
      <c r="E22" s="88">
        <f t="shared" si="0"/>
        <v>0</v>
      </c>
      <c r="F22" s="113"/>
      <c r="G22" s="87"/>
      <c r="H22" s="3" t="s">
        <v>45</v>
      </c>
      <c r="I22" s="52">
        <f>I28-SUM(I11:I14)</f>
        <v>797492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1965748</v>
      </c>
      <c r="D24" s="62">
        <f>IF(E24=0,0,E24/C24)</f>
        <v>0.80177250593667138</v>
      </c>
      <c r="E24" s="88">
        <f>SUM(E11:E14)</f>
        <v>1576082.7</v>
      </c>
      <c r="F24" s="114">
        <f>E24/$E$28</f>
        <v>0.88147417477709</v>
      </c>
      <c r="G24" s="87"/>
    </row>
    <row r="25" spans="2:10" ht="15" customHeight="1" x14ac:dyDescent="0.4">
      <c r="B25" s="23" t="s">
        <v>55</v>
      </c>
      <c r="C25" s="61">
        <f>SUM(C15:C17)</f>
        <v>63587</v>
      </c>
      <c r="D25" s="62">
        <f>IF(E25=0,0,E25/C25)</f>
        <v>0.1</v>
      </c>
      <c r="E25" s="88">
        <f>SUM(E15:E17)</f>
        <v>6358.7000000000007</v>
      </c>
      <c r="F25" s="114">
        <f>E25/$E$28</f>
        <v>3.5563043964349605E-3</v>
      </c>
      <c r="G25" s="87"/>
      <c r="H25" s="23" t="s">
        <v>56</v>
      </c>
      <c r="I25" s="63">
        <f>E28/I28</f>
        <v>2.2266181827238594</v>
      </c>
    </row>
    <row r="26" spans="2:10" ht="15" customHeight="1" x14ac:dyDescent="0.4">
      <c r="B26" s="23" t="s">
        <v>57</v>
      </c>
      <c r="C26" s="61">
        <f>C18+C19+C20</f>
        <v>370793</v>
      </c>
      <c r="D26" s="62">
        <f>IF(E26=0,0,E26/C26)</f>
        <v>0.5</v>
      </c>
      <c r="E26" s="88">
        <f>E18+E19+E20</f>
        <v>185396.5</v>
      </c>
      <c r="F26" s="114">
        <f>E26/$E$28</f>
        <v>0.10368886533940178</v>
      </c>
      <c r="G26" s="87"/>
      <c r="H26" s="23" t="s">
        <v>58</v>
      </c>
      <c r="I26" s="63">
        <f>E24/($I$28-I22)</f>
        <v>285.36713742531231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22411</v>
      </c>
      <c r="D27" s="62">
        <f>IF(E27=0,0,E27/C27)</f>
        <v>0.9</v>
      </c>
      <c r="E27" s="88">
        <f>E21+E22</f>
        <v>20169.900000000001</v>
      </c>
      <c r="F27" s="114">
        <f>E27/$E$28</f>
        <v>1.128065548707338E-2</v>
      </c>
      <c r="G27" s="87"/>
      <c r="H27" s="23" t="s">
        <v>60</v>
      </c>
      <c r="I27" s="63">
        <f>(E25+E24)/$I$28</f>
        <v>1.9706249571925802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2422539</v>
      </c>
      <c r="D28" s="57">
        <f>E28/C28</f>
        <v>0.73807183289928446</v>
      </c>
      <c r="E28" s="70">
        <f>SUM(E24:E27)</f>
        <v>1788007.7999999998</v>
      </c>
      <c r="F28" s="113"/>
      <c r="G28" s="87"/>
      <c r="H28" s="78" t="s">
        <v>16</v>
      </c>
      <c r="I28" s="215">
        <f>Inputs!C70</f>
        <v>803015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4">
      <c r="B31" s="3" t="s">
        <v>63</v>
      </c>
      <c r="C31" s="40">
        <f>Inputs!C53</f>
        <v>39731</v>
      </c>
      <c r="D31" s="207">
        <f>Inputs!D53</f>
        <v>0.6</v>
      </c>
      <c r="E31" s="88">
        <f t="shared" ref="E31:E42" si="1">C31*D31</f>
        <v>23838.6</v>
      </c>
      <c r="F31" s="113"/>
      <c r="G31" s="87"/>
      <c r="H31" s="3" t="s">
        <v>64</v>
      </c>
      <c r="I31" s="40">
        <f>Inputs!C72</f>
        <v>2115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7">
        <f>Inputs!D54</f>
        <v>0.5</v>
      </c>
      <c r="E32" s="88">
        <f t="shared" si="1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171</v>
      </c>
      <c r="C33" s="40">
        <f>Inputs!C55</f>
        <v>0</v>
      </c>
      <c r="D33" s="207">
        <f>Inputs!D55</f>
        <v>0.5</v>
      </c>
      <c r="E33" s="88">
        <f t="shared" si="1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3.9" x14ac:dyDescent="0.4">
      <c r="B34" s="3" t="s">
        <v>68</v>
      </c>
      <c r="C34" s="40">
        <f>Inputs!C56</f>
        <v>0</v>
      </c>
      <c r="D34" s="207">
        <f>Inputs!D56</f>
        <v>0.4</v>
      </c>
      <c r="E34" s="88">
        <f t="shared" si="1"/>
        <v>0</v>
      </c>
      <c r="F34" s="113"/>
      <c r="G34" s="87"/>
      <c r="H34" s="1" t="s">
        <v>78</v>
      </c>
      <c r="I34" s="84">
        <f>SUM(I30:I33)</f>
        <v>2115</v>
      </c>
      <c r="J34" s="87"/>
    </row>
    <row r="35" spans="2:10" ht="13.9" x14ac:dyDescent="0.4">
      <c r="B35" s="3" t="s">
        <v>70</v>
      </c>
      <c r="C35" s="40">
        <f>Inputs!C57</f>
        <v>85171</v>
      </c>
      <c r="D35" s="207">
        <f>Inputs!D57</f>
        <v>0.1</v>
      </c>
      <c r="E35" s="88">
        <f t="shared" si="1"/>
        <v>8517.1</v>
      </c>
      <c r="F35" s="135" t="str">
        <f>Inputs!E57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0</v>
      </c>
      <c r="D36" s="207">
        <f>Inputs!D58</f>
        <v>0.2</v>
      </c>
      <c r="E36" s="88">
        <f t="shared" si="1"/>
        <v>0</v>
      </c>
      <c r="F36" s="135" t="str">
        <f>Inputs!E58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7">
        <f>Inputs!D59</f>
        <v>0.1</v>
      </c>
      <c r="E37" s="88">
        <f t="shared" si="1"/>
        <v>0</v>
      </c>
      <c r="F37" s="135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123</v>
      </c>
      <c r="C38" s="40">
        <f>Inputs!C60</f>
        <v>1863998</v>
      </c>
      <c r="D38" s="207">
        <f>Inputs!D60</f>
        <v>0.1</v>
      </c>
      <c r="E38" s="88">
        <f t="shared" si="1"/>
        <v>186399.80000000002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7">
        <f>Inputs!D61</f>
        <v>0.05</v>
      </c>
      <c r="E39" s="88">
        <f t="shared" si="1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23958</v>
      </c>
      <c r="D40" s="207">
        <f>Inputs!D62</f>
        <v>0.05</v>
      </c>
      <c r="E40" s="88">
        <f t="shared" si="1"/>
        <v>1197.9000000000001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71331</v>
      </c>
      <c r="D41" s="207">
        <f>Inputs!D63</f>
        <v>0.9</v>
      </c>
      <c r="E41" s="88">
        <f t="shared" si="1"/>
        <v>64197.9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62618</v>
      </c>
      <c r="D42" s="207">
        <f>Inputs!D64</f>
        <v>0</v>
      </c>
      <c r="E42" s="88">
        <f t="shared" si="1"/>
        <v>0</v>
      </c>
      <c r="F42" s="113"/>
      <c r="G42" s="87"/>
      <c r="H42" s="3" t="s">
        <v>69</v>
      </c>
      <c r="I42" s="52">
        <f>I48-SUM(I30:I33)</f>
        <v>98092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39731</v>
      </c>
      <c r="D44" s="62">
        <f>IF(E44=0,0,E44/C44)</f>
        <v>0.6</v>
      </c>
      <c r="E44" s="88">
        <f>SUM(E30:E31)</f>
        <v>23838.6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85171</v>
      </c>
      <c r="D45" s="62">
        <f>IF(E45=0,0,E45/C45)</f>
        <v>0.1</v>
      </c>
      <c r="E45" s="88">
        <f>SUM(E32:E35)</f>
        <v>8517.1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1863998</v>
      </c>
      <c r="D46" s="62">
        <f>IF(E46=0,0,E46/C46)</f>
        <v>0.1</v>
      </c>
      <c r="E46" s="88">
        <f>E36+E37+E38+E39</f>
        <v>186399.80000000002</v>
      </c>
      <c r="F46" s="87"/>
      <c r="G46" s="87"/>
      <c r="H46" s="23" t="s">
        <v>81</v>
      </c>
      <c r="I46" s="63">
        <f>(E44+E24)/E64</f>
        <v>209.46861743912021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1">
        <f>C40+C41+C42</f>
        <v>157907</v>
      </c>
      <c r="D47" s="62">
        <f>IF(E47=0,0,E47/C47)</f>
        <v>0.41414123503074596</v>
      </c>
      <c r="E47" s="88">
        <f>E40+E41+E42</f>
        <v>65395.8</v>
      </c>
      <c r="F47" s="87"/>
      <c r="G47" s="87"/>
      <c r="H47" s="23" t="s">
        <v>83</v>
      </c>
      <c r="I47" s="63">
        <f>(E44+E45+E24+E25)/$I$49</f>
        <v>1.7878186093784252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2146807</v>
      </c>
      <c r="D48" s="82">
        <f>E48/C48</f>
        <v>0.13235996528798349</v>
      </c>
      <c r="E48" s="76">
        <f>SUM(E30:E42)</f>
        <v>284151.3</v>
      </c>
      <c r="F48" s="87"/>
      <c r="G48" s="87"/>
      <c r="H48" s="80" t="s">
        <v>85</v>
      </c>
      <c r="I48" s="216">
        <f>Inputs!C75</f>
        <v>100207</v>
      </c>
      <c r="J48" s="8"/>
    </row>
    <row r="49" spans="2:11" ht="15" customHeight="1" thickTop="1" x14ac:dyDescent="0.4">
      <c r="B49" s="3" t="s">
        <v>14</v>
      </c>
      <c r="C49" s="61">
        <f>C28+C48</f>
        <v>4569346</v>
      </c>
      <c r="D49" s="56">
        <f>E49/C49</f>
        <v>0.45349139679945444</v>
      </c>
      <c r="E49" s="88">
        <f>E28+E48</f>
        <v>2072159.0999999999</v>
      </c>
      <c r="F49" s="87"/>
      <c r="G49" s="87"/>
      <c r="H49" s="3" t="s">
        <v>86</v>
      </c>
      <c r="I49" s="52">
        <f>I28+I48</f>
        <v>903222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45613</v>
      </c>
      <c r="D53" s="29">
        <f>IF(E53=0, 0,E53/C53)</f>
        <v>1.3010117068493916</v>
      </c>
      <c r="E53" s="88">
        <f>IF(C53=0,0,MAX(C53,C53*Dashboard!G23))</f>
        <v>59343.046984521301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161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52">
        <f>I15+I34</f>
        <v>7638</v>
      </c>
      <c r="E56" s="250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51">
        <f>Inputs!C77</f>
        <v>0</v>
      </c>
      <c r="E57" s="250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51">
        <f>Inputs!C78</f>
        <v>0</v>
      </c>
      <c r="E58" s="250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346519</v>
      </c>
      <c r="D61" s="56">
        <f t="shared" ref="D61:D70" si="2">IF(E61=0,0,E61/C61)</f>
        <v>0.47710486293680865</v>
      </c>
      <c r="E61" s="52">
        <f>E14+E15+(E19*G19)+(E20*G20)+E31+E32+(E35*G35)+(E36*G36)+(E37*G37)</f>
        <v>165325.9</v>
      </c>
      <c r="F61" s="87"/>
      <c r="G61" s="87"/>
      <c r="I61" s="87"/>
      <c r="K61" s="33"/>
    </row>
    <row r="62" spans="2:11" ht="13.9" x14ac:dyDescent="0.4">
      <c r="B62" s="35" t="s">
        <v>150</v>
      </c>
      <c r="C62" s="118">
        <f>C11+C30</f>
        <v>1322113</v>
      </c>
      <c r="D62" s="108">
        <f t="shared" si="2"/>
        <v>0.89999999999999991</v>
      </c>
      <c r="E62" s="119">
        <f>E11+E30</f>
        <v>1189901.7</v>
      </c>
      <c r="F62" s="87"/>
      <c r="G62" s="87"/>
      <c r="I62" s="87"/>
      <c r="K62" s="33"/>
    </row>
    <row r="63" spans="2:11" ht="13.9" x14ac:dyDescent="0.4">
      <c r="B63" s="19" t="s">
        <v>152</v>
      </c>
      <c r="C63" s="68">
        <f>C61+C62</f>
        <v>1668632</v>
      </c>
      <c r="D63" s="29">
        <f t="shared" si="2"/>
        <v>0.81217883871338914</v>
      </c>
      <c r="E63" s="61">
        <f>E61+E62</f>
        <v>1355227.5999999999</v>
      </c>
      <c r="F63" s="87"/>
      <c r="G63" s="87"/>
      <c r="I63" s="87"/>
      <c r="K63" s="33"/>
    </row>
    <row r="64" spans="2:11" ht="14.25" thickBot="1" x14ac:dyDescent="0.45">
      <c r="B64" s="122" t="s">
        <v>162</v>
      </c>
      <c r="C64" s="217"/>
      <c r="D64" s="217"/>
      <c r="E64" s="69">
        <f>D56+D57+D58</f>
        <v>7638</v>
      </c>
      <c r="F64" s="87"/>
      <c r="G64" s="87"/>
      <c r="I64" s="87"/>
      <c r="K64" s="33"/>
    </row>
    <row r="65" spans="1:11" ht="14.25" thickTop="1" x14ac:dyDescent="0.4">
      <c r="B65" s="3" t="s">
        <v>153</v>
      </c>
      <c r="C65" s="68">
        <f>C63-E64</f>
        <v>1660994</v>
      </c>
      <c r="D65" s="29">
        <f t="shared" si="2"/>
        <v>0.81131515225220552</v>
      </c>
      <c r="E65" s="61">
        <f>E63-E64</f>
        <v>1347589.5999999999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151</v>
      </c>
      <c r="C68" s="68">
        <f>C49-C63</f>
        <v>2900714</v>
      </c>
      <c r="D68" s="29">
        <f t="shared" si="2"/>
        <v>0.24715690688568401</v>
      </c>
      <c r="E68" s="68">
        <f>E49-E63</f>
        <v>716931.5</v>
      </c>
      <c r="F68" s="87"/>
      <c r="G68" s="87"/>
      <c r="I68" s="87"/>
      <c r="K68" s="33"/>
    </row>
    <row r="69" spans="1:11" ht="14.25" thickBot="1" x14ac:dyDescent="0.45">
      <c r="B69" s="122" t="s">
        <v>163</v>
      </c>
      <c r="C69" s="217"/>
      <c r="D69" s="217"/>
      <c r="E69" s="127">
        <f>I49-E64</f>
        <v>895584</v>
      </c>
      <c r="F69" s="87"/>
      <c r="G69" s="87"/>
      <c r="I69" s="87"/>
      <c r="K69" s="33"/>
    </row>
    <row r="70" spans="1:11" ht="14.25" thickTop="1" x14ac:dyDescent="0.4">
      <c r="B70" s="19" t="s">
        <v>154</v>
      </c>
      <c r="C70" s="68">
        <f>C68-E69</f>
        <v>2005130</v>
      </c>
      <c r="D70" s="29">
        <f t="shared" si="2"/>
        <v>-8.9097714362659772E-2</v>
      </c>
      <c r="E70" s="68">
        <f>E68-E69</f>
        <v>-178652.5</v>
      </c>
      <c r="F70" s="87"/>
      <c r="G70" s="87"/>
      <c r="I70" s="87"/>
      <c r="K70" s="33"/>
    </row>
    <row r="72" spans="1:11" ht="15" customHeight="1" x14ac:dyDescent="0.4">
      <c r="A72" s="5"/>
      <c r="B72" s="107" t="s">
        <v>137</v>
      </c>
      <c r="C72" s="255">
        <f>Data!C5</f>
        <v>45291</v>
      </c>
      <c r="D72" s="255"/>
      <c r="E72" s="253" t="s">
        <v>226</v>
      </c>
      <c r="F72" s="253"/>
      <c r="H72" s="253" t="s">
        <v>225</v>
      </c>
      <c r="I72" s="253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54" t="s">
        <v>103</v>
      </c>
      <c r="D73" s="254"/>
      <c r="E73" s="256" t="s">
        <v>104</v>
      </c>
      <c r="F73" s="254"/>
      <c r="H73" s="256" t="s">
        <v>104</v>
      </c>
      <c r="I73" s="254"/>
      <c r="K73" s="24"/>
    </row>
    <row r="74" spans="1:11" ht="15" customHeight="1" x14ac:dyDescent="0.4">
      <c r="B74" s="3" t="s">
        <v>136</v>
      </c>
      <c r="C74" s="77">
        <f>Data!C6</f>
        <v>3833194</v>
      </c>
      <c r="D74" s="218"/>
      <c r="E74" s="205">
        <f>H74*0.9</f>
        <v>3449874.6</v>
      </c>
      <c r="F74" s="218"/>
      <c r="H74" s="205">
        <f>C74</f>
        <v>3833194</v>
      </c>
      <c r="I74" s="218"/>
      <c r="K74" s="24"/>
    </row>
    <row r="75" spans="1:11" ht="15" customHeight="1" x14ac:dyDescent="0.4">
      <c r="B75" s="105" t="s">
        <v>109</v>
      </c>
      <c r="C75" s="77">
        <f>Data!C8</f>
        <v>2530133</v>
      </c>
      <c r="D75" s="164">
        <f>C75/$C$74</f>
        <v>0.66005868735054896</v>
      </c>
      <c r="E75" s="186">
        <f>E74*F75</f>
        <v>2277119.7000000002</v>
      </c>
      <c r="F75" s="165">
        <f>I75</f>
        <v>0.66005868735054896</v>
      </c>
      <c r="H75" s="205">
        <f>D75*H74</f>
        <v>2530133</v>
      </c>
      <c r="I75" s="165">
        <f>H75/$H$74</f>
        <v>0.66005868735054896</v>
      </c>
      <c r="K75" s="24"/>
    </row>
    <row r="76" spans="1:11" ht="15" customHeight="1" x14ac:dyDescent="0.4">
      <c r="B76" s="35" t="s">
        <v>96</v>
      </c>
      <c r="C76" s="166">
        <f>C74-C75</f>
        <v>1303061</v>
      </c>
      <c r="D76" s="219"/>
      <c r="E76" s="167">
        <f>E74-E75</f>
        <v>1172754.8999999999</v>
      </c>
      <c r="F76" s="219"/>
      <c r="H76" s="167">
        <f>H74-H75</f>
        <v>1303061</v>
      </c>
      <c r="I76" s="219"/>
      <c r="K76" s="24"/>
    </row>
    <row r="77" spans="1:11" ht="15" customHeight="1" x14ac:dyDescent="0.4">
      <c r="B77" s="105" t="s">
        <v>133</v>
      </c>
      <c r="C77" s="77">
        <f>Data!C10-MAX(Data!C12,0)</f>
        <v>782094</v>
      </c>
      <c r="D77" s="164">
        <f>C77/$C$74</f>
        <v>0.20403193785652382</v>
      </c>
      <c r="E77" s="186">
        <f>E74*F77</f>
        <v>703884.6</v>
      </c>
      <c r="F77" s="165">
        <f>I77</f>
        <v>0.20403193785652382</v>
      </c>
      <c r="H77" s="205">
        <f>D77*H74</f>
        <v>782094</v>
      </c>
      <c r="I77" s="165">
        <f>H77/$H$74</f>
        <v>0.20403193785652382</v>
      </c>
      <c r="K77" s="24"/>
    </row>
    <row r="78" spans="1:11" ht="15" customHeight="1" x14ac:dyDescent="0.4">
      <c r="B78" s="35" t="s">
        <v>97</v>
      </c>
      <c r="C78" s="166">
        <f>C76-C77</f>
        <v>520967</v>
      </c>
      <c r="D78" s="219"/>
      <c r="E78" s="167">
        <f>E76-E77</f>
        <v>468870.29999999993</v>
      </c>
      <c r="F78" s="219"/>
      <c r="H78" s="167">
        <f>H76-H77</f>
        <v>520967</v>
      </c>
      <c r="I78" s="219"/>
      <c r="K78" s="24"/>
    </row>
    <row r="79" spans="1:11" ht="15" customHeight="1" x14ac:dyDescent="0.4">
      <c r="B79" s="105" t="s">
        <v>129</v>
      </c>
      <c r="C79" s="77">
        <f>MAX(Data!C17,0)</f>
        <v>270</v>
      </c>
      <c r="D79" s="164">
        <f>C79/$C$74</f>
        <v>7.0437342852983705E-5</v>
      </c>
      <c r="E79" s="186">
        <f>E74*F79</f>
        <v>243.00000000000003</v>
      </c>
      <c r="F79" s="165">
        <f t="shared" ref="F79:F84" si="3">I79</f>
        <v>7.0437342852983705E-5</v>
      </c>
      <c r="H79" s="205">
        <f>C79</f>
        <v>270</v>
      </c>
      <c r="I79" s="165">
        <f>H79/$H$74</f>
        <v>7.0437342852983705E-5</v>
      </c>
      <c r="K79" s="24"/>
    </row>
    <row r="80" spans="1:11" ht="15" customHeight="1" x14ac:dyDescent="0.4">
      <c r="B80" s="28" t="s">
        <v>135</v>
      </c>
      <c r="C80" s="77">
        <f>MAX(Data!C14,0)+MAX(Data!C15,0)</f>
        <v>329600</v>
      </c>
      <c r="D80" s="164">
        <f>C80/$C$74</f>
        <v>8.5985734090160845E-2</v>
      </c>
      <c r="E80" s="186">
        <f>E74*F80</f>
        <v>68997.491999999998</v>
      </c>
      <c r="F80" s="165">
        <f t="shared" si="3"/>
        <v>0.02</v>
      </c>
      <c r="H80" s="205">
        <f>H74*2%</f>
        <v>76663.88</v>
      </c>
      <c r="I80" s="165">
        <f>H80/$H$74</f>
        <v>0.02</v>
      </c>
      <c r="K80" s="24"/>
    </row>
    <row r="81" spans="1:11" ht="15" customHeight="1" x14ac:dyDescent="0.4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3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4">
      <c r="B82" s="73" t="s">
        <v>186</v>
      </c>
      <c r="C82" s="77">
        <f>MAX(Data!C18,0)</f>
        <v>2980</v>
      </c>
      <c r="D82" s="164">
        <f>C82/$C$74</f>
        <v>7.7741956185885708E-4</v>
      </c>
      <c r="E82" s="186">
        <f>E74*F82</f>
        <v>2682</v>
      </c>
      <c r="F82" s="165">
        <f t="shared" si="3"/>
        <v>7.7741956185885708E-4</v>
      </c>
      <c r="H82" s="205">
        <f>H74*D82</f>
        <v>2980</v>
      </c>
      <c r="I82" s="165">
        <f>H82/$H$74</f>
        <v>7.7741956185885708E-4</v>
      </c>
      <c r="K82" s="24"/>
    </row>
    <row r="83" spans="1:11" ht="15" customHeight="1" thickBot="1" x14ac:dyDescent="0.45">
      <c r="B83" s="106" t="s">
        <v>134</v>
      </c>
      <c r="C83" s="168">
        <f>C78-C79-C80-C81-C82</f>
        <v>188117</v>
      </c>
      <c r="D83" s="169">
        <f>C83/$C$74</f>
        <v>4.9075783798054572E-2</v>
      </c>
      <c r="E83" s="170">
        <f>E78-E79-E80-E81-E82</f>
        <v>396947.80799999996</v>
      </c>
      <c r="F83" s="169">
        <f>E83/E74</f>
        <v>0.11506151788821541</v>
      </c>
      <c r="H83" s="170">
        <f>H78-H79-H80-H81-H82</f>
        <v>441053.12</v>
      </c>
      <c r="I83" s="169">
        <f>H83/$H$74</f>
        <v>0.11506151788821542</v>
      </c>
      <c r="K83" s="24"/>
    </row>
    <row r="84" spans="1:11" ht="15" customHeight="1" thickTop="1" x14ac:dyDescent="0.4">
      <c r="B84" s="28" t="s">
        <v>98</v>
      </c>
      <c r="C84" s="220"/>
      <c r="D84" s="164">
        <f>I84</f>
        <v>0.25</v>
      </c>
      <c r="E84" s="221"/>
      <c r="F84" s="185">
        <f t="shared" si="3"/>
        <v>0.25</v>
      </c>
      <c r="H84" s="221"/>
      <c r="I84" s="211">
        <f>Inputs!C16</f>
        <v>0.25</v>
      </c>
      <c r="K84" s="24"/>
    </row>
    <row r="85" spans="1:11" ht="15" customHeight="1" x14ac:dyDescent="0.4">
      <c r="B85" s="86" t="s">
        <v>176</v>
      </c>
      <c r="C85" s="166">
        <f>C83*(1-I84)</f>
        <v>141087.75</v>
      </c>
      <c r="D85" s="171">
        <f>C85/$C$74</f>
        <v>3.6806837848540927E-2</v>
      </c>
      <c r="E85" s="172">
        <f>E83*(1-F84)</f>
        <v>297710.85599999997</v>
      </c>
      <c r="F85" s="171">
        <f>E85/E74</f>
        <v>8.6296138416161544E-2</v>
      </c>
      <c r="H85" s="172">
        <f>H83*(1-I84)</f>
        <v>330789.83999999997</v>
      </c>
      <c r="I85" s="171">
        <f>H85/$H$74</f>
        <v>8.6296138416161558E-2</v>
      </c>
      <c r="K85" s="24"/>
    </row>
    <row r="86" spans="1:11" ht="15" customHeight="1" x14ac:dyDescent="0.4">
      <c r="B86" s="87" t="s">
        <v>172</v>
      </c>
      <c r="C86" s="173">
        <f>C85*Data!C4/Common_Shares</f>
        <v>0.13518147144403247</v>
      </c>
      <c r="D86" s="218"/>
      <c r="E86" s="174">
        <f>E85*Data!C4/Common_Shares</f>
        <v>0.28524795085996102</v>
      </c>
      <c r="F86" s="218"/>
      <c r="H86" s="174">
        <f>H85*Data!C4/Common_Shares</f>
        <v>0.31694216762217886</v>
      </c>
      <c r="I86" s="218"/>
      <c r="K86" s="24"/>
    </row>
    <row r="87" spans="1:11" ht="15" customHeight="1" x14ac:dyDescent="0.4">
      <c r="B87" s="87" t="s">
        <v>228</v>
      </c>
      <c r="C87" s="165">
        <f>C86*Exchange_Rate/Dashboard!G3</f>
        <v>2.958018957686134E-2</v>
      </c>
      <c r="D87" s="218"/>
      <c r="E87" s="239">
        <f>E86*Exchange_Rate/Dashboard!G3</f>
        <v>6.2417492373148392E-2</v>
      </c>
      <c r="F87" s="218"/>
      <c r="H87" s="239">
        <f>H86*Exchange_Rate/Dashboard!G3</f>
        <v>6.9352769303498207E-2</v>
      </c>
      <c r="I87" s="218"/>
      <c r="K87" s="24"/>
    </row>
    <row r="88" spans="1:11" ht="15" customHeight="1" x14ac:dyDescent="0.4">
      <c r="B88" s="86" t="s">
        <v>227</v>
      </c>
      <c r="C88" s="175">
        <f>Inputs!F5</f>
        <v>0.15820000000000001</v>
      </c>
      <c r="D88" s="171">
        <f>C88/C86</f>
        <v>1.1702787246660324</v>
      </c>
      <c r="E88" s="204">
        <f>H88</f>
        <v>0.15820000000000001</v>
      </c>
      <c r="F88" s="171">
        <f>E88/E86</f>
        <v>0.5546052110911267</v>
      </c>
      <c r="H88" s="176">
        <f>Inputs!F6</f>
        <v>0.15820000000000001</v>
      </c>
      <c r="I88" s="171">
        <f>H88/H86</f>
        <v>0.49914468998201406</v>
      </c>
      <c r="K88" s="24"/>
    </row>
    <row r="89" spans="1:11" ht="15" customHeight="1" x14ac:dyDescent="0.4">
      <c r="B89" s="87" t="s">
        <v>244</v>
      </c>
      <c r="C89" s="165">
        <f>C88*Exchange_Rate/Dashboard!G3</f>
        <v>3.4617066533388752E-2</v>
      </c>
      <c r="D89" s="218"/>
      <c r="E89" s="165">
        <f>E88*Exchange_Rate/Dashboard!G3</f>
        <v>3.4617066533388752E-2</v>
      </c>
      <c r="F89" s="218"/>
      <c r="H89" s="165">
        <f>H88*Exchange_Rate/Dashboard!G3</f>
        <v>3.4617066533388752E-2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207" t="str">
        <f>Inputs!C15</f>
        <v>CN</v>
      </c>
      <c r="D92" s="10" t="s">
        <v>168</v>
      </c>
      <c r="E92" s="253" t="s">
        <v>226</v>
      </c>
      <c r="F92" s="253"/>
      <c r="G92" s="87"/>
      <c r="H92" s="253" t="s">
        <v>225</v>
      </c>
      <c r="I92" s="253"/>
      <c r="K92" s="24"/>
    </row>
    <row r="93" spans="1:11" ht="15" customHeight="1" x14ac:dyDescent="0.4">
      <c r="B93" s="1" t="str">
        <f>C92&amp;" Required Return"</f>
        <v>CN Required Return</v>
      </c>
      <c r="C93" s="137">
        <f>IF(C92="CN",Dashboard!C17,IF(C92="US",Dashboard!C12,IF(C92="HK",Dashboard!D12,Dashboard!D17)))</f>
        <v>0.08</v>
      </c>
      <c r="D93" s="206">
        <v>5</v>
      </c>
      <c r="E93" s="87" t="s">
        <v>229</v>
      </c>
      <c r="F93" s="146">
        <f>FV(E87,D93,0,-(E86/C93))</f>
        <v>4.8262366052605561</v>
      </c>
      <c r="H93" s="87" t="s">
        <v>229</v>
      </c>
      <c r="I93" s="146">
        <f>FV(H87,D93,0,-(H86/C93))</f>
        <v>5.5398120312399426</v>
      </c>
      <c r="K93" s="24"/>
    </row>
    <row r="94" spans="1:11" ht="15" customHeight="1" x14ac:dyDescent="0.4">
      <c r="B94" s="1" t="s">
        <v>231</v>
      </c>
      <c r="C94" s="188">
        <f>Dashboard!G20</f>
        <v>0.15</v>
      </c>
      <c r="D94" s="147"/>
      <c r="E94" s="87" t="s">
        <v>230</v>
      </c>
      <c r="F94" s="146">
        <f>FV(E89,D93,0,-(E88/C93))</f>
        <v>2.3443080689527958</v>
      </c>
      <c r="H94" s="87" t="s">
        <v>230</v>
      </c>
      <c r="I94" s="146">
        <f>FV(H89,D93,0,-(H88/C93))</f>
        <v>2.3443080689527958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234</v>
      </c>
      <c r="F96" s="189" t="str">
        <f>E72</f>
        <v>Pessimistic Case</v>
      </c>
      <c r="H96" s="189" t="str">
        <f>H72</f>
        <v>Base Case</v>
      </c>
      <c r="I96" s="125" t="s">
        <v>233</v>
      </c>
      <c r="K96" s="24"/>
    </row>
    <row r="97" spans="2:11" ht="15" customHeight="1" x14ac:dyDescent="0.4">
      <c r="B97" s="1" t="s">
        <v>140</v>
      </c>
      <c r="C97" s="91">
        <f>H97*Common_Shares/Data!C4</f>
        <v>3935033.1005711989</v>
      </c>
      <c r="E97" s="124">
        <f>PV(C94,D93,0,-F93)*Exchange_Rate</f>
        <v>2.3994925591805445</v>
      </c>
      <c r="F97" s="124">
        <f>PV(C93,D93,0,-F93)*Exchange_Rate</f>
        <v>3.2846555384495564</v>
      </c>
      <c r="H97" s="124">
        <f>PV(C93,D93,0,-I93)*Exchange_Rate</f>
        <v>3.7703029831873294</v>
      </c>
      <c r="I97" s="224"/>
      <c r="K97" s="24"/>
    </row>
    <row r="98" spans="2:11" ht="15" customHeight="1" x14ac:dyDescent="0.4">
      <c r="B98" s="28" t="s">
        <v>155</v>
      </c>
      <c r="C98" s="91">
        <f>E53*Exchange_Rate</f>
        <v>59343.046984521301</v>
      </c>
      <c r="E98" s="222"/>
      <c r="F98" s="222"/>
      <c r="H98" s="124">
        <f>C98*Data!$C$4/Common_Shares</f>
        <v>5.6858801783570466E-2</v>
      </c>
      <c r="I98" s="224"/>
      <c r="K98" s="24"/>
    </row>
    <row r="99" spans="2:11" ht="15" customHeight="1" thickBot="1" x14ac:dyDescent="0.45">
      <c r="B99" s="106" t="s">
        <v>156</v>
      </c>
      <c r="C99" s="109">
        <f>(E65+MIN(0,E70))*Exchange_Rate</f>
        <v>1168937.0999999999</v>
      </c>
      <c r="E99" s="223"/>
      <c r="F99" s="148">
        <f>IF(H99&gt;0,H99*0.85,H99*1.15)</f>
        <v>0.95200215201526783</v>
      </c>
      <c r="H99" s="148">
        <f>C99*Data!$C$4/Common_Shares</f>
        <v>1.1200025317826681</v>
      </c>
      <c r="I99" s="225"/>
      <c r="K99" s="24"/>
    </row>
    <row r="100" spans="2:11" ht="15" customHeight="1" thickTop="1" x14ac:dyDescent="0.4">
      <c r="B100" s="1" t="s">
        <v>119</v>
      </c>
      <c r="C100" s="91">
        <f>C97-C98+$C$99</f>
        <v>5044627.1535866773</v>
      </c>
      <c r="E100" s="110">
        <f>MAX(E97-H98+F99,0)</f>
        <v>3.2946359094122419</v>
      </c>
      <c r="F100" s="110">
        <f>MAX(F97-H98+F99,0)</f>
        <v>4.1797988886812538</v>
      </c>
      <c r="H100" s="110">
        <f>MAX(C100*Data!$C$4/Common_Shares,0)</f>
        <v>4.8334467131864267</v>
      </c>
      <c r="I100" s="110">
        <f>H100*1.25</f>
        <v>6.0418083914830332</v>
      </c>
      <c r="K100" s="24"/>
    </row>
    <row r="101" spans="2:11" ht="15" customHeight="1" x14ac:dyDescent="0.4">
      <c r="F101" s="24"/>
      <c r="K101" s="24"/>
    </row>
    <row r="102" spans="2:11" ht="15" customHeight="1" x14ac:dyDescent="0.4">
      <c r="B102" s="10" t="s">
        <v>174</v>
      </c>
      <c r="C102" s="128" t="str">
        <f>C96</f>
        <v>HKD</v>
      </c>
      <c r="E102" s="125" t="s">
        <v>234</v>
      </c>
      <c r="F102" s="189" t="str">
        <f>F96</f>
        <v>Pessimistic Case</v>
      </c>
      <c r="H102" s="189" t="str">
        <f>H96</f>
        <v>Base Case</v>
      </c>
      <c r="I102" s="125" t="s">
        <v>233</v>
      </c>
      <c r="K102" s="24"/>
    </row>
    <row r="103" spans="2:11" ht="15" customHeight="1" x14ac:dyDescent="0.4">
      <c r="B103" s="1" t="s">
        <v>173</v>
      </c>
      <c r="C103" s="91">
        <f>H103*Common_Shares/Data!C4</f>
        <v>1665206.2917016768</v>
      </c>
      <c r="E103" s="110">
        <f>PV(C94,D93,0,-F94)*Exchange_Rate</f>
        <v>1.1655354322553892</v>
      </c>
      <c r="F103" s="124">
        <f>PV(C93,D93,0,-F94)*Exchange_Rate</f>
        <v>1.5954966803999175</v>
      </c>
      <c r="H103" s="124">
        <f>PV(C93,D93,0,-I94)*Exchange_Rate</f>
        <v>1.5954966803999175</v>
      </c>
      <c r="I103" s="110">
        <f>H103*1.25</f>
        <v>1.9943708504998969</v>
      </c>
      <c r="K103" s="24"/>
    </row>
    <row r="104" spans="2:11" ht="15" customHeight="1" x14ac:dyDescent="0.4">
      <c r="F104" s="24"/>
      <c r="K104" s="24"/>
    </row>
    <row r="105" spans="2:11" ht="15" customHeight="1" x14ac:dyDescent="0.4">
      <c r="B105" s="10" t="s">
        <v>214</v>
      </c>
      <c r="C105" s="128" t="str">
        <f>C102</f>
        <v>HKD</v>
      </c>
      <c r="E105" s="125" t="s">
        <v>234</v>
      </c>
      <c r="F105" s="190" t="s">
        <v>224</v>
      </c>
      <c r="H105" s="190" t="s">
        <v>224</v>
      </c>
      <c r="I105" s="125" t="s">
        <v>233</v>
      </c>
      <c r="K105" s="24"/>
    </row>
    <row r="106" spans="2:11" ht="15" customHeight="1" x14ac:dyDescent="0.4">
      <c r="B106" s="1" t="s">
        <v>215</v>
      </c>
      <c r="C106" s="91">
        <f>F106*Common_Shares/Data!C4</f>
        <v>3013813.3899658853</v>
      </c>
      <c r="E106" s="110">
        <f>(E100+E103)/2</f>
        <v>2.2300856708338155</v>
      </c>
      <c r="F106" s="124">
        <f>(F100+F103)/2</f>
        <v>2.8876477845405857</v>
      </c>
      <c r="H106" s="124">
        <f>(H100+H103)/2</f>
        <v>3.2144716967931721</v>
      </c>
      <c r="I106" s="110">
        <f>H106*1.25</f>
        <v>4.0180896209914652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91" t="s">
        <v>248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2024-11-13T15:39:07Z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